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22"/>
  <workbookPr/>
  <mc:AlternateContent xmlns:mc="http://schemas.openxmlformats.org/markup-compatibility/2006">
    <mc:Choice Requires="x15">
      <x15ac:absPath xmlns:x15ac="http://schemas.microsoft.com/office/spreadsheetml/2010/11/ac" url="/Users/markrosenblatt/Library/CloudStorage/Dropbox/Op ed/Tech Policy/PROPOSALS/"/>
    </mc:Choice>
  </mc:AlternateContent>
  <xr:revisionPtr revIDLastSave="0" documentId="8_{0B4D1652-9188-E045-A09D-A88BD9D702BF}" xr6:coauthVersionLast="47" xr6:coauthVersionMax="47" xr10:uidLastSave="{00000000-0000-0000-0000-000000000000}"/>
  <bookViews>
    <workbookView xWindow="600" yWindow="680" windowWidth="16380" windowHeight="8200" tabRatio="500" xr2:uid="{00000000-000D-0000-FFFF-FFFF00000000}"/>
  </bookViews>
  <sheets>
    <sheet name="Introduction" sheetId="1" r:id="rId1"/>
    <sheet name="Base Inputs" sheetId="2" r:id="rId2"/>
    <sheet name="Package Summary" sheetId="3" r:id="rId3"/>
    <sheet name="MINA" sheetId="4" r:id="rId4"/>
    <sheet name="DO IT NOW" sheetId="5" r:id="rId5"/>
    <sheet name="Mannie Mac" sheetId="6" r:id="rId6"/>
    <sheet name="MERA" sheetId="7" r:id="rId7"/>
  </sheet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B28" i="7" l="1"/>
  <c r="B26" i="7"/>
  <c r="B30" i="7" s="1"/>
  <c r="B25" i="7"/>
  <c r="B24" i="7"/>
  <c r="B23" i="7"/>
  <c r="B22" i="7"/>
  <c r="B27" i="7" s="1"/>
  <c r="B31" i="7" s="1"/>
  <c r="B21" i="7"/>
  <c r="B97" i="6"/>
  <c r="B86" i="6"/>
  <c r="B68" i="6"/>
  <c r="B67" i="6"/>
  <c r="B61" i="6"/>
  <c r="B50" i="6"/>
  <c r="B51" i="6" s="1"/>
  <c r="B48" i="6"/>
  <c r="B47" i="6"/>
  <c r="B49" i="6" s="1"/>
  <c r="B31" i="6"/>
  <c r="B33" i="6" s="1"/>
  <c r="B36" i="6" s="1"/>
  <c r="B40" i="6" s="1"/>
  <c r="B43" i="6" s="1"/>
  <c r="B25" i="6"/>
  <c r="E27" i="5"/>
  <c r="E21" i="5"/>
  <c r="B16" i="5"/>
  <c r="B14" i="5"/>
  <c r="B29" i="5" s="1"/>
  <c r="B13" i="5"/>
  <c r="B12" i="5"/>
  <c r="B11" i="5"/>
  <c r="B10" i="5"/>
  <c r="E27" i="4"/>
  <c r="E28" i="4" s="1"/>
  <c r="E29" i="4" s="1"/>
  <c r="E21" i="4"/>
  <c r="B16" i="4"/>
  <c r="B14" i="4"/>
  <c r="B29" i="4" s="1"/>
  <c r="B13" i="4"/>
  <c r="B12" i="4"/>
  <c r="B11" i="4"/>
  <c r="B10" i="4"/>
  <c r="B40" i="3"/>
  <c r="B28" i="3"/>
  <c r="B27" i="3"/>
  <c r="B20" i="3"/>
  <c r="D11" i="3"/>
  <c r="E10" i="3"/>
  <c r="D10" i="3"/>
  <c r="E6" i="3"/>
  <c r="B37" i="2"/>
  <c r="B21" i="3" s="1"/>
  <c r="E11" i="3" l="1"/>
  <c r="E7" i="3"/>
  <c r="E22" i="5"/>
  <c r="E23" i="5" s="1"/>
  <c r="F21" i="4"/>
  <c r="E22" i="4"/>
  <c r="E23" i="4" s="1"/>
  <c r="F27" i="4"/>
  <c r="E28" i="5"/>
  <c r="E29" i="5" s="1"/>
  <c r="F21" i="5"/>
  <c r="B34" i="6"/>
  <c r="B37" i="6" s="1"/>
  <c r="B39" i="6" s="1"/>
  <c r="F27" i="5"/>
  <c r="B35" i="5" l="1"/>
  <c r="G21" i="5"/>
  <c r="F22" i="5"/>
  <c r="F23" i="5" s="1"/>
  <c r="B35" i="4"/>
  <c r="F28" i="5"/>
  <c r="F29" i="5" s="1"/>
  <c r="G27" i="5"/>
  <c r="B62" i="6"/>
  <c r="F28" i="4"/>
  <c r="F29" i="4" s="1"/>
  <c r="G27" i="4"/>
  <c r="F22" i="4"/>
  <c r="F23" i="4" s="1"/>
  <c r="G21" i="4"/>
  <c r="B19" i="6"/>
  <c r="B46" i="6"/>
  <c r="B100" i="6"/>
  <c r="B104" i="6" s="1"/>
  <c r="B105" i="6" s="1"/>
  <c r="B42" i="6"/>
  <c r="B101" i="6" s="1"/>
  <c r="B106" i="6" l="1"/>
  <c r="B92" i="6"/>
  <c r="B26" i="6"/>
  <c r="H21" i="4"/>
  <c r="G22" i="4"/>
  <c r="G23" i="4" s="1"/>
  <c r="G28" i="4"/>
  <c r="G29" i="4" s="1"/>
  <c r="H27" i="4"/>
  <c r="H21" i="5"/>
  <c r="G22" i="5"/>
  <c r="G23" i="5" s="1"/>
  <c r="H27" i="5"/>
  <c r="G28" i="5"/>
  <c r="G29" i="5" s="1"/>
  <c r="B70" i="6"/>
  <c r="B73" i="6" s="1"/>
  <c r="B81" i="6"/>
  <c r="B52" i="6"/>
  <c r="I21" i="4" l="1"/>
  <c r="H22" i="4"/>
  <c r="H23" i="4" s="1"/>
  <c r="B80" i="6"/>
  <c r="B63" i="6"/>
  <c r="B64" i="6" s="1"/>
  <c r="B90" i="6" s="1"/>
  <c r="B91" i="6" s="1"/>
  <c r="B27" i="6"/>
  <c r="B75" i="6"/>
  <c r="H22" i="5"/>
  <c r="H23" i="5" s="1"/>
  <c r="I21" i="5"/>
  <c r="I27" i="5"/>
  <c r="H28" i="5"/>
  <c r="H29" i="5" s="1"/>
  <c r="B56" i="6"/>
  <c r="B54" i="6"/>
  <c r="B57" i="6" s="1"/>
  <c r="B58" i="6" s="1"/>
  <c r="B55" i="6"/>
  <c r="I27" i="4"/>
  <c r="H28" i="4"/>
  <c r="H29" i="4" s="1"/>
  <c r="J21" i="5" l="1"/>
  <c r="I22" i="5"/>
  <c r="I23" i="5" s="1"/>
  <c r="I28" i="4"/>
  <c r="I29" i="4" s="1"/>
  <c r="J27" i="4"/>
  <c r="B77" i="6"/>
  <c r="B76" i="6"/>
  <c r="B102" i="6" s="1"/>
  <c r="B99" i="6"/>
  <c r="B87" i="6"/>
  <c r="B88" i="6" s="1"/>
  <c r="B98" i="6" s="1"/>
  <c r="B83" i="6"/>
  <c r="B82" i="6"/>
  <c r="I28" i="5"/>
  <c r="I29" i="5" s="1"/>
  <c r="J27" i="5"/>
  <c r="J21" i="4"/>
  <c r="I22" i="4"/>
  <c r="I23" i="4" s="1"/>
  <c r="D6" i="3" l="1"/>
  <c r="D7" i="3"/>
  <c r="K27" i="4"/>
  <c r="J28" i="4"/>
  <c r="J29" i="4" s="1"/>
  <c r="J22" i="4"/>
  <c r="J23" i="4" s="1"/>
  <c r="K21" i="4"/>
  <c r="J28" i="5"/>
  <c r="J29" i="5" s="1"/>
  <c r="K27" i="5"/>
  <c r="J22" i="5"/>
  <c r="J23" i="5" s="1"/>
  <c r="K21" i="5"/>
  <c r="K22" i="4" l="1"/>
  <c r="K23" i="4" s="1"/>
  <c r="L21" i="4"/>
  <c r="L27" i="4"/>
  <c r="K28" i="4"/>
  <c r="K29" i="4" s="1"/>
  <c r="K22" i="5"/>
  <c r="K23" i="5" s="1"/>
  <c r="L21" i="5"/>
  <c r="K28" i="5"/>
  <c r="K29" i="5" s="1"/>
  <c r="L27" i="5"/>
  <c r="L28" i="5" l="1"/>
  <c r="L29" i="5" s="1"/>
  <c r="M27" i="5"/>
  <c r="L22" i="5"/>
  <c r="L23" i="5" s="1"/>
  <c r="M21" i="5"/>
  <c r="L28" i="4"/>
  <c r="L29" i="4" s="1"/>
  <c r="M27" i="4"/>
  <c r="L22" i="4"/>
  <c r="L23" i="4" s="1"/>
  <c r="M21" i="4"/>
  <c r="M22" i="4" l="1"/>
  <c r="M23" i="4" s="1"/>
  <c r="N21" i="4"/>
  <c r="N22" i="4" s="1"/>
  <c r="N23" i="4" s="1"/>
  <c r="O23" i="4" s="1"/>
  <c r="B33" i="4" s="1"/>
  <c r="M28" i="4"/>
  <c r="M29" i="4" s="1"/>
  <c r="N27" i="4"/>
  <c r="N28" i="4" s="1"/>
  <c r="N29" i="4" s="1"/>
  <c r="M22" i="5"/>
  <c r="M23" i="5" s="1"/>
  <c r="N21" i="5"/>
  <c r="N22" i="5" s="1"/>
  <c r="N23" i="5" s="1"/>
  <c r="O23" i="5" s="1"/>
  <c r="B33" i="5" s="1"/>
  <c r="N27" i="5"/>
  <c r="N28" i="5" s="1"/>
  <c r="N29" i="5" s="1"/>
  <c r="M28" i="5"/>
  <c r="M29" i="5" s="1"/>
  <c r="B36" i="5" l="1"/>
  <c r="O29" i="5"/>
  <c r="B34" i="5" s="1"/>
  <c r="C6" i="3"/>
  <c r="C10" i="3"/>
  <c r="B36" i="4"/>
  <c r="O29" i="4"/>
  <c r="B34" i="4" s="1"/>
  <c r="B10" i="3"/>
  <c r="F10" i="3" s="1"/>
  <c r="B6" i="3"/>
  <c r="F6" i="3" s="1"/>
  <c r="B14" i="3" l="1"/>
  <c r="B17" i="1" s="1"/>
  <c r="B7" i="3"/>
  <c r="B11" i="3"/>
  <c r="F11" i="3" s="1"/>
  <c r="B19" i="3" s="1"/>
  <c r="C11" i="3"/>
  <c r="C7" i="3"/>
  <c r="B23" i="3" l="1"/>
  <c r="B22" i="3"/>
  <c r="B24" i="3"/>
  <c r="F7" i="3"/>
  <c r="B15" i="3" l="1"/>
  <c r="C17" i="1" s="1"/>
  <c r="C18" i="1"/>
  <c r="B36" i="3"/>
  <c r="C20" i="1" s="1"/>
  <c r="B30" i="3"/>
  <c r="B32" i="3" s="1"/>
  <c r="B35" i="3"/>
  <c r="B20" i="1" s="1"/>
  <c r="B41" i="3"/>
  <c r="B18" i="1"/>
  <c r="B29" i="3"/>
  <c r="B31" i="3" s="1"/>
  <c r="B19" i="1" s="1"/>
  <c r="B37" i="3"/>
  <c r="C19" i="1" l="1"/>
  <c r="B38" i="3"/>
  <c r="B21" i="1" s="1"/>
  <c r="B39" i="3"/>
  <c r="C2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B7" authorId="0" shapeId="0" xr:uid="{00000000-0006-0000-0100-000001000000}">
      <text>
        <r>
          <rPr>
            <sz val="10"/>
            <rFont val="Arial"/>
            <family val="2"/>
          </rPr>
          <t>§38A(o) INDUSTRY EXCLUSION — KEY FIGURES
TOTAL NAICS 31-33 DVA COST BASE: $2.5T
  = GVA ($2.9T)
  − corporate profits ($350B)
  − foreign-equipment depreciation ($50B)
§38A(o) EXCLUDED SECTORS:
  NAICS 3121 Beverage Mfg:         ~$55B VA  (permanently excluded)
  NAICS 3122 Tobacco Mfg:          ~$12B VA  (permanently excluded)
  NAICS 3256 Soap/HH Products:     ~$35B VA  (EVA spread &gt;18pp; not §38B)
  Total excluded:                  ~$100B = ~4.8% of $2.3T mfg VA
ELIGIBLE DVA COST BASE: $2.38T
  = $2.5T × (1 − 0.048)
DEPRECIATION NOTE:
  Domestic CCA (~$280B) is INCLUDED — it represents
  consumption of US-origin capital assets, a genuine
  domestic cost. Only foreign-equipment CCA (~$50B)
  is stripped as it reflects foreign capital investment.
MINA COST IMPACT:
  Pre-exclusion:  $1,028–1,127B (10-yr)
  Post-exclusion: $980–1,080B (10-yr)
  Reduction: ~$48B = within uncertainty band</t>
        </r>
      </text>
    </comment>
  </commentList>
</comments>
</file>

<file path=xl/sharedStrings.xml><?xml version="1.0" encoding="utf-8"?>
<sst xmlns="http://schemas.openxmlformats.org/spreadsheetml/2006/main" count="588" uniqueCount="480">
  <si>
    <t>Manufacturing Renaissance Legislative Package</t>
  </si>
  <si>
    <t>Dynamic Fiscal Model</t>
  </si>
  <si>
    <t>MINA • DO IT NOW • Mannie Mac • MERA</t>
  </si>
  <si>
    <t>BILL DESCRIPTIONS</t>
  </si>
  <si>
    <t>MINA (Manufacturing Incentives Now Act)</t>
  </si>
  <si>
    <t>5-6% transferable DVA credit for all NAICS 31-33 manufacturers. Base/bonus structure with Qualified Reinvestment Elector guardrails. Graduated capex threshold (115%/110%/105%).</t>
  </si>
  <si>
    <t>DO IT NOW Act</t>
  </si>
  <si>
    <t>Additional 8-10% strategic credit for 14 hard sectors (A–N) + §38B(c)(1)(O) catch-all designation authority, with full upstream supply chain coverage (§38B(c)(4): equipment manufacturers, specialty chemical suppliers, and component makers whose output is primarily used in a strategic sector). Combined window: 12-year full + 10-year phase-out.</t>
  </si>
  <si>
    <t>Mannie Mac (Manufacturing Finance Corp.)</t>
  </si>
  <si>
    <t>$25B GSE providing loan guarantees for manufacturing investment. 2% interest rate buy-down funded from appropriation residual (100% coverage at 7-yr avg loan term). Net 10-year cost: $12.7B after fee revenue returned to Treasury. Mobilizes ~$706B in private investment (28× leverage).</t>
  </si>
  <si>
    <t>MERA (Manufacturing Entrepreneur Rewards Act)</t>
  </si>
  <si>
    <t>Dual-track succession incentive: enhanced unified credit (Track 1) + QSBS-style capital gains exclusions (Track 2) for family-owned manufacturing transfers.</t>
  </si>
  <si>
    <t>SUMMARY RESULTS</t>
  </si>
  <si>
    <t>Metric</t>
  </si>
  <si>
    <t>Low Estimate</t>
  </si>
  <si>
    <t>High Estimate</t>
  </si>
  <si>
    <t>10-Year Package Cost ($T)</t>
  </si>
  <si>
    <t>Cumulative GDP Impact ($T)</t>
  </si>
  <si>
    <t>Total Jobs Created (M)</t>
  </si>
  <si>
    <t>ROI (GDP Return per Dollar)</t>
  </si>
  <si>
    <t>Cost Per Job ($)</t>
  </si>
  <si>
    <t>MODEL OUTPUT vs. CBA PUBLISHED RANGE</t>
  </si>
  <si>
    <t>Model (Default Inputs)</t>
  </si>
  <si>
    <t>CBA Published Range</t>
  </si>
  <si>
    <t>Status</t>
  </si>
  <si>
    <t>Package Cost (10-Yr)</t>
  </si>
  <si>
    <t>$1.40 – 1.57T</t>
  </si>
  <si>
    <t>✓</t>
  </si>
  <si>
    <t>Cumulative GDP Impact</t>
  </si>
  <si>
    <t>$2.3 – 4.4T</t>
  </si>
  <si>
    <t>Jobs Created</t>
  </si>
  <si>
    <t>4.1 – 7.8M</t>
  </si>
  <si>
    <t>ROI (GDP / Cost)</t>
  </si>
  <si>
    <t>1.5 – 3.2×</t>
  </si>
  <si>
    <t>Cost Per Job</t>
  </si>
  <si>
    <t>$179K – $382K</t>
  </si>
  <si>
    <t>Alignment note: Model outputs and CBA published ranges are normalized. MINA sunset: 10yr full + 7yr phase-out (§38A(n)). DIN sunset: 12yr full + 10yr phase-out (§38B(j)). Phase-outs are outside the 10-year scoring window. Floor/Ceiling range reflects dual growth scenarios: Conservative (3%) baseline approximating CBO static scoring vs. Dynamic (5%) reflecting incentive-driven expansion. QRE-blended credit rates (55% MINA, 60% DIN qualification). 20% DVA floor ensures universal participation for all NAICS 31-33 manufacturers; DVA scaling fraction = 20% + 80% × ((DVA − 20%) / 60%). Incrementality factors (80%/86%) applied to benefits (GDP, jobs), not costs — consistent with CBO practice of scoring all eligible claims on the cost side. MERA inputs calibrated to Census SUSB firm-size distribution and GF Data/BizBuySell transaction data ($36–73B). Mannie Mac net cost is +$12.7B (appropriation minus $12.3B in fee revenue returned to Treasury; residual capital remains on GSE books per standard CBO scoring). Buy-down structured as 2% origination points with 100% coverage at 7-year avg loan term. All CBA document ranges derive from this model.</t>
  </si>
  <si>
    <t>Green (✓) = model output matches CBA published range.</t>
  </si>
  <si>
    <t>HOW TO USE THIS MODEL:</t>
  </si>
  <si>
    <t>• Yellow cells on each bill sheet are adjustable inputs. Change any value to see how it affects results.</t>
  </si>
  <si>
    <t>• Gray cells show the original bill values for reference.</t>
  </si>
  <si>
    <t>• Green cells are cross-sheet links — they pull from other sheets automatically.</t>
  </si>
  <si>
    <t>• All results update in real-time as you adjust inputs.</t>
  </si>
  <si>
    <t>• Base Inputs sheet contains macroeconomic data and multipliers used across all bills.</t>
  </si>
  <si>
    <t>Prepared by: Mark Rosenblatt and Claude AI</t>
  </si>
  <si>
    <t>Contact: mr@rationalwave.com | 914-584-5400</t>
  </si>
  <si>
    <t>BASE INPUTS &amp; DATA SOURCES</t>
  </si>
  <si>
    <t>All external data used across the model. Yellow cells are adjustable.</t>
  </si>
  <si>
    <t>Parameter</t>
  </si>
  <si>
    <t>Value</t>
  </si>
  <si>
    <t>Source / Reference</t>
  </si>
  <si>
    <t>CBA Ref</t>
  </si>
  <si>
    <t>MACROECONOMIC DATA</t>
  </si>
  <si>
    <t>US Manufacturing Value-Added (2024)</t>
  </si>
  <si>
    <t>BEA GDP by Industry, 2024 advance</t>
  </si>
  <si>
    <t>A-1</t>
  </si>
  <si>
    <t>§38A(o) Eligible DVA Cost Base ($T) [excl. NAICS 3121/3122/3256]</t>
  </si>
  <si>
    <t>Calc: Total NAICS 31-33 DVA ($2.5T) minus §38A(o) exclusions: NAICS 3121 Beverage Mfg (~$55B VA, permanently excluded by statute); NAICS 3122 Tobacco Mfg (~$12B VA, permanently excluded by statute); NAICS 3256 Soap/Cleaning/HH Products (~$35B VA, EVA spread &gt;18pp, not §38B-covered). Total excluded ~$100B = ~4.8% of $2.3T total NAICS 31-33 VA. Eligible base: $2.5T × (1 − 0.048) = $2.38T. Domestic depreciation (~$280B) IS included — only foreign-equipment CCA (~$50B) is stripped. Pre-exclusion figure ($2.5T) = wages + domestic CCA + taxes on production.</t>
  </si>
  <si>
    <t>A-2</t>
  </si>
  <si>
    <t>Strategic Sector DVA Base — Low ($T) [14-sector MISA expansion]</t>
  </si>
  <si>
    <t>BEA subsector analysis; $450-560B original 10-sector base + ~$128-251B MISA expansion (4 new sectors K-N, §38B(c)(4) Upstream Supply Chain Rule, EV drivetrain H(vii), military vehicles I(xii)). New range: $580-790B. Low-end $580B used as model anchor per existing methodology.</t>
  </si>
  <si>
    <t>A-10</t>
  </si>
  <si>
    <t>Current Mfg Employment (millions)</t>
  </si>
  <si>
    <t>BLS Current Employment Statistics</t>
  </si>
  <si>
    <t>A-12</t>
  </si>
  <si>
    <t>US Goods Trade Deficit</t>
  </si>
  <si>
    <t>Census Bureau Foreign Trade, 2024</t>
  </si>
  <si>
    <t>A-15</t>
  </si>
  <si>
    <t>Mfg Output Per Worker ($K)</t>
  </si>
  <si>
    <t>BEA VA ÷ BLS employment</t>
  </si>
  <si>
    <t>Derived</t>
  </si>
  <si>
    <t>MULTIPLIERS</t>
  </si>
  <si>
    <t>Manufacturing GDP Multiplier</t>
  </si>
  <si>
    <t>NAM/IMPLAN 2023</t>
  </si>
  <si>
    <t>A-6</t>
  </si>
  <si>
    <t>Extended Value Chain Multiplier</t>
  </si>
  <si>
    <t>Deloitte/Manufacturing Institute</t>
  </si>
  <si>
    <t>A-7</t>
  </si>
  <si>
    <t>Tax Revenue Multiplier</t>
  </si>
  <si>
    <t>Mertens &amp; Ravn (2013), AER</t>
  </si>
  <si>
    <t>A-8</t>
  </si>
  <si>
    <t>Jobs Multiplier (AI-adjusted)</t>
  </si>
  <si>
    <t>NAM 6.0× reduced 33% for automation/AI</t>
  </si>
  <si>
    <t>A-13</t>
  </si>
  <si>
    <t>BEHAVIORAL PARAMETERS</t>
  </si>
  <si>
    <t>Average DVA Scaling Fraction</t>
  </si>
  <si>
    <t>At 62% avg DVA (Census ASM): 0.20 + 0.80 × (0.62 − 0.20) / 0.60 = 0.76. 20% floor ensures universal participation.</t>
  </si>
  <si>
    <t>A-3</t>
  </si>
  <si>
    <t>Utilization Factor</t>
  </si>
  <si>
    <t>Sec. 199 precedent (single aggregate take-up factor)</t>
  </si>
  <si>
    <t>A-4</t>
  </si>
  <si>
    <t>Election Rate — MINA (absorbed into A-4)</t>
  </si>
  <si>
    <t>Set to 1.0: take-up captured by Utilization Factor (0.85)</t>
  </si>
  <si>
    <t>Election Rate — DIN (absorbed into A-4)</t>
  </si>
  <si>
    <t>Strategic Sector Scaling Fraction</t>
  </si>
  <si>
    <t>At 65% avg DVA (defense/strategic premium): 0.20 + 0.80 × (0.65 − 0.20) / 0.60 = 0.80. 20% floor ensures universal participation.</t>
  </si>
  <si>
    <t>Incrementality Factor — Low</t>
  </si>
  <si>
    <t>Conservative: 80% of induced activity is genuinely incremental</t>
  </si>
  <si>
    <t>A-9</t>
  </si>
  <si>
    <t>Incrementality Factor — High</t>
  </si>
  <si>
    <t>Upper bound: 86% incremental (applies to benefits, not costs)</t>
  </si>
  <si>
    <t>Growth Rate — Conservative</t>
  </si>
  <si>
    <t>CBO-like baseline: ~2% nominal, model uses 3% (conservative above CBO)</t>
  </si>
  <si>
    <t>A-25</t>
  </si>
  <si>
    <t>Est. QRE Qualification Rate (MINA)</t>
  </si>
  <si>
    <t>A-26: combined 3-path estimate</t>
  </si>
  <si>
    <t>A-26</t>
  </si>
  <si>
    <t>Est. QRE Qualification Rate (DIN)</t>
  </si>
  <si>
    <t>A-26: higher for strategic firms</t>
  </si>
  <si>
    <t>Growth Rate — Dynamic</t>
  </si>
  <si>
    <t>TCJA/Reshoring/CHIPS precedents: incentive-driven expansion</t>
  </si>
  <si>
    <t>RESHORING &amp; TRADE</t>
  </si>
  <si>
    <t>Reshoring Potential (annual, $B)</t>
  </si>
  <si>
    <t>Reshoring Initiative 2024 data</t>
  </si>
  <si>
    <t>A-16</t>
  </si>
  <si>
    <t>OECD China Subsidy Rate</t>
  </si>
  <si>
    <t>CEPII/OECD estimates</t>
  </si>
  <si>
    <t>Fn. 3</t>
  </si>
  <si>
    <t>GDP Ramp Factor Year 1</t>
  </si>
  <si>
    <t>CBO WP 2015-02 + CEA TCJA (2025): 20% Year 1</t>
  </si>
  <si>
    <t>A-24</t>
  </si>
  <si>
    <t>GDP Ramp Factor Year 5</t>
  </si>
  <si>
    <t>CBO WP 2015-02: 70% by Year 5</t>
  </si>
  <si>
    <t>GDP Ramp Factor Year 8+</t>
  </si>
  <si>
    <t>Full steady-state by Year 8</t>
  </si>
  <si>
    <t>Average GDP Ramp Factor (10-yr)</t>
  </si>
  <si>
    <t>Avg of 10-yr ramp schedule (Yr1-10); see CBA A-24 derivation</t>
  </si>
  <si>
    <t>Cost of Inaction ($B/yr GDP loss)</t>
  </si>
  <si>
    <t>NAM/EY Macro Model (Jan 2025): TCJA mfg provisions expiration</t>
  </si>
  <si>
    <t>A-23</t>
  </si>
  <si>
    <t>QRE QUALIFICATION RATE — DERIVATION</t>
  </si>
  <si>
    <t>The QRE Qualification Rate estimates the share of eligible manufacturers that will meet all three Qualified Reinvestment Elector guardrails and thereby qualify for the higher (bonus) credit rate. The three guardrails are: (1) Graduated Capex Threshold — capital expenditures must exceed prior-year depreciation by 115% in Years 1–2, 110% in Years 3–5, and 105% in Year 6+ (§38A(n)(3)); (2) Distribution Restraint — dividends and buybacks capped at 50% of net income (§38A(n)(4)); and (3) Investment Intensity — R&amp;D plus capex must equal or exceed 15% of revenue (§38A(n)(5)).</t>
  </si>
  <si>
    <t>Evidence Base</t>
  </si>
  <si>
    <t>1. BONUS DEPRECIATION TAKE-UP (closest structural analog). Brosy, Matheson &amp; Goodman (2022) analyzed IRS data on §168(k) bonus depreciation uptake from 2001–2019 and found: (a) Firm-level take-up rates ranged from ~70–85% when bonus depreciation was automatic (default-on); (b) Investment-level take-up rates were 10–30 percentage points below firm rates, implying ~55–70% of actual investment dollars flowed through the provision; (c) C-corps had higher take-up than pass-throughs; (d) Smaller firms and firms with net operating losses claimed at much lower rates.</t>
  </si>
  <si>
    <t>2. KEY STRUCTURAL DIFFERENCE: Bonus depreciation is DEFAULT-ON — firms must affirmatively elect OUT by filing Form 4562 (§168(k)(7)). The QRE bonus is the inverse: firms must affirmatively restructure capital allocation to meet three simultaneous behavioral tests. This structural difference suggests QRE take-up should be LOWER than automatic bonus depreciation take-up, but the financial incentive (additional 1–2% credit on entire DVA base) is large enough to motivate significant behavioral response.</t>
  </si>
  <si>
    <t>3. CAPEX THRESHOLD FEASIBILITY. Census ACES data show manufacturing capex grew 34% ($65.6B) from 2011–2020 and 70% ($112.1B) from 2010–2019, suggesting a substantial share of manufacturers already invest above depreciation in normal years. The graduated threshold (declining from 115% to 105%) accommodates firms at different investment stages. Firms already at or above 105% capex-to-depreciation need only modest restructuring to qualify.</t>
  </si>
  <si>
    <t>4. R&amp;D CREDIT ANALOG. IRS SOI data show 71.2% of R&amp;D credit claimants were in manufacturing. The R&amp;D credit requires active documentation of Qualified Research Expenses under §41 — a compliance burden comparable to QRE guardrail tracking. Firm-level R&amp;D credit participation rates among eligible manufacturers have grown steadily as the credit became permanent (PATH Act, 2015), suggesting behavioral adaptation over time.</t>
  </si>
  <si>
    <t>5. RATE CALIBRATION. MINA rate (55%): Covers all NAICS 31–33 manufacturers, including many small and marginal firms less likely to restructure. Set below the 70% automatic take-up floor from Brosy et al. to reflect the affirmative-election structure. DIN rate (60%): Strategic sectors (semiconductors, aerospace, shipbuilding, etc.) are more capital-intensive, larger on average, and more likely to already meet capex/investment intensity thresholds. The 5pp premium over MINA reflects this structural advantage. Curtis et al. (2022) found that manufacturing plants benefiting most from bonus depreciation increased investment by 15.8% and employment by 9.5% — evidence that capital-intensive manufacturers respond strongly to investment incentives.</t>
  </si>
  <si>
    <t>Sources</t>
  </si>
  <si>
    <t>Brosy, Matheson &amp; Goodman, "Business Uptake of Investment Expensing," Tax Notes, Oct 3 2022, p.27</t>
  </si>
  <si>
    <t>Curtis, Garett, Ohrn, Roberts &amp; Suarez Seratto, "Capital Investment &amp; Labor Demand," NBER 2022</t>
  </si>
  <si>
    <t>CRS Report RL31852, "The Section 179 and Section 168(k) Expensing Allowances," updated 2024</t>
  </si>
  <si>
    <t>Census Bureau, Annual Capital Expenditures Survey (ACES), 2021 &amp; 2022 Capital Spending Reports</t>
  </si>
  <si>
    <t>IRS SOI, "Corporation Research Credit" statistics (Form 6765 data)</t>
  </si>
  <si>
    <t>IRC §168(k)(7) (election out of bonus depreciation); IRS FAQ A2 re Form 4562 filing requirement</t>
  </si>
  <si>
    <t>PACKAGE SUMMARY — All Four Bills</t>
  </si>
  <si>
    <t>All values are live formulas linked to individual bill sheets</t>
  </si>
  <si>
    <t>10-YEAR COST ROLLUP ($B)</t>
  </si>
  <si>
    <t>MINA</t>
  </si>
  <si>
    <t>DO IT NOW</t>
  </si>
  <si>
    <t>Mannie Mac</t>
  </si>
  <si>
    <t>MERA</t>
  </si>
  <si>
    <t>TOTAL</t>
  </si>
  <si>
    <t>Cost — Floor (Conservative/3%)</t>
  </si>
  <si>
    <t>Cost — Ceiling (Dynamic/5%)</t>
  </si>
  <si>
    <t>GROSS FEDERAL STIMULUS ($B, for GDP calculation)</t>
  </si>
  <si>
    <t>(Uses Mannie Mac gross $25B — revenue returns don't reduce economic stimulus)</t>
  </si>
  <si>
    <t>Gross Stimulus — Floor (3%)</t>
  </si>
  <si>
    <t>Gross Stimulus — Ceiling (5%)</t>
  </si>
  <si>
    <t>HEADLINE COST RANGE ($T)</t>
  </si>
  <si>
    <t>Package Cost — Floor ($T)</t>
  </si>
  <si>
    <t>Package Cost — Ceiling ($T)</t>
  </si>
  <si>
    <t>BENEFITS (10-YEAR)</t>
  </si>
  <si>
    <t>Avg Annual Gross Stimulus ($B)</t>
  </si>
  <si>
    <t>GDP Multiplier</t>
  </si>
  <si>
    <t>Average Ramp Factor (10-yr)</t>
  </si>
  <si>
    <t>Annual GDP Impact at Steady State ($B)</t>
  </si>
  <si>
    <t>Cumulative GDP Impact — Low ($T) [× incrementality]</t>
  </si>
  <si>
    <t>Cumulative GDP Impact — High ($T) [× incrementality]</t>
  </si>
  <si>
    <t>JOBS</t>
  </si>
  <si>
    <t>Output Per Worker ($K)</t>
  </si>
  <si>
    <t>Direct Mfg Jobs — Low (M)</t>
  </si>
  <si>
    <t>Direct Mfg Jobs — High (M)</t>
  </si>
  <si>
    <t>Total Jobs (w/ multiplier) — Low (M)</t>
  </si>
  <si>
    <t>Total Jobs (w/ multiplier) — High (M)</t>
  </si>
  <si>
    <t>DERIVED METRICS</t>
  </si>
  <si>
    <t>ROI — Floor (Low GDP / High Cost)</t>
  </si>
  <si>
    <t>ROI — Ceiling (High GDP / Low Cost)</t>
  </si>
  <si>
    <t>ROI — Blended</t>
  </si>
  <si>
    <t>Cost Per Job — Low ($)</t>
  </si>
  <si>
    <t>Cost Per Job — High ($)</t>
  </si>
  <si>
    <t>Net Benefit vs. Inaction ($T)</t>
  </si>
  <si>
    <t>MINA — Manufacturing Incentives Now Act (Section 38A)</t>
  </si>
  <si>
    <t>5-6% transferable DVA credit for all NAICS 31-33 manufacturers</t>
  </si>
  <si>
    <t>BILL-DEFINED VARIABLES</t>
  </si>
  <si>
    <t>User Input</t>
  </si>
  <si>
    <t>As-Written</t>
  </si>
  <si>
    <t>Bill Reference</t>
  </si>
  <si>
    <t>Credit Rate — Base</t>
  </si>
  <si>
    <t>§38A(b)(2)(A)</t>
  </si>
  <si>
    <t>Credit Rate — Bonus (QRE)</t>
  </si>
  <si>
    <t>§38A(b)(2)(B)</t>
  </si>
  <si>
    <t>LINKED FROM BASE INPUTS</t>
  </si>
  <si>
    <t>§38A(o) Eligible DVA Cost Base ($T)</t>
  </si>
  <si>
    <t>DVA Scaling Fraction</t>
  </si>
  <si>
    <t>QRE Qualification Rate (MINA)</t>
  </si>
  <si>
    <t>See Base Inputs QRE derivation. 55% reflects affirmative-election discount vs 70-85% automatic take-up (Brosy et al. 2022)</t>
  </si>
  <si>
    <t>CONSERVATIVE ESTIMATE (3% Growth — CBO-like baseline)</t>
  </si>
  <si>
    <t>Year 1</t>
  </si>
  <si>
    <t>Year 2</t>
  </si>
  <si>
    <t>Year 3</t>
  </si>
  <si>
    <t>Year 4</t>
  </si>
  <si>
    <t>Year 5</t>
  </si>
  <si>
    <t>Year 6</t>
  </si>
  <si>
    <t>Year 7</t>
  </si>
  <si>
    <t>Year 8</t>
  </si>
  <si>
    <t>Year 9</t>
  </si>
  <si>
    <t>Year 10</t>
  </si>
  <si>
    <t>10-Yr Total</t>
  </si>
  <si>
    <t>DVA Cost Base ($T)</t>
  </si>
  <si>
    <t>Qualifying DVA ($T)</t>
  </si>
  <si>
    <t>Blended Credit (est. $B)</t>
  </si>
  <si>
    <t>DYNAMIC ESTIMATE (5% Growth — incentive-driven)</t>
  </si>
  <si>
    <t>KEY OUTPUTS → SUMMARY</t>
  </si>
  <si>
    <t>MINA 10-Yr Cost — Floor (Conservative/3%) ($B)</t>
  </si>
  <si>
    <t>MINA 10-Yr Cost — Ceiling (Dynamic/5%) ($B)</t>
  </si>
  <si>
    <t>MINA Year 1 Credit ($B)</t>
  </si>
  <si>
    <t>MINA Year 10 Credit — Dynamic ($B)</t>
  </si>
  <si>
    <t>BILL REFERENCE PARAMETERS (not used in cost calculation)</t>
  </si>
  <si>
    <t>DVA Floor</t>
  </si>
  <si>
    <t>§38A(d)(2)</t>
  </si>
  <si>
    <t>DVA Cap</t>
  </si>
  <si>
    <t>§38A(d)(3)</t>
  </si>
  <si>
    <t>Treasury Sale Rate</t>
  </si>
  <si>
    <t>§38A(f)(2)</t>
  </si>
  <si>
    <t>Qualified Buyer DVA Threshold</t>
  </si>
  <si>
    <t>§38A(f)(1)</t>
  </si>
  <si>
    <t>Phase-Out Start (full credit years)</t>
  </si>
  <si>
    <t>§38A(n)(1)</t>
  </si>
  <si>
    <t>Phase-Out Period (years)</t>
  </si>
  <si>
    <t>§38A(n)(2)-(3)</t>
  </si>
  <si>
    <t>Buyback Surcharge (public electors)</t>
  </si>
  <si>
    <t>§38A(i)</t>
  </si>
  <si>
    <t>Capex Threshold — Years 1-2</t>
  </si>
  <si>
    <t>§38A(b-1)(1)(A)(i)</t>
  </si>
  <si>
    <t>Capex Threshold — Years 3-5</t>
  </si>
  <si>
    <t>§38A(b-1)(1)(A)(ii)</t>
  </si>
  <si>
    <t>Capex Threshold — Year 6+</t>
  </si>
  <si>
    <t>§38A(b-1)(1)(A)(iii)</t>
  </si>
  <si>
    <t>Distribution Restraint Limit</t>
  </si>
  <si>
    <t>§38A(b-1)(1)(B)</t>
  </si>
  <si>
    <t>Investment Intensity Threshold</t>
  </si>
  <si>
    <t>§38A(b-1)(1)(C)</t>
  </si>
  <si>
    <t>DO IT NOW — Delivering Opportunities in Technology &amp; Industry NOW Act (Section 38B)</t>
  </si>
  <si>
    <t>Additional 8-10% DVA credit for 14 strategic sectors, supply chains &amp; upstream inputs</t>
  </si>
  <si>
    <t>Strategic Credit Rate — Base</t>
  </si>
  <si>
    <t>§38B(b)(3)(A)</t>
  </si>
  <si>
    <t>Strategic Credit Rate — Bonus (QRE)</t>
  </si>
  <si>
    <t>§38B(b)(3)(B)</t>
  </si>
  <si>
    <t>Strategic Sector DVA Base ($T)</t>
  </si>
  <si>
    <t>Strategic Scaling Fraction</t>
  </si>
  <si>
    <t>QRE Qualification Rate (DIN)</t>
  </si>
  <si>
    <t>See Base Inputs QRE derivation. 60% = MINA rate + 5pp premium for capital-intensive strategic sectors (Curtis et al. 2022)</t>
  </si>
  <si>
    <t>DIN 10-Yr Cost — Floor (Conservative/3%) ($B)</t>
  </si>
  <si>
    <t>DIN 10-Yr Cost — Ceiling (Dynamic/5%) ($B)</t>
  </si>
  <si>
    <t>DIN Year 1 Credit ($B)</t>
  </si>
  <si>
    <t>DIN Year 10 Credit — Dynamic ($B)</t>
  </si>
  <si>
    <t>Full Credit Sunset (years)</t>
  </si>
  <si>
    <t>§38B(j)(1)</t>
  </si>
  <si>
    <t>§38B(j)(2)-(3)</t>
  </si>
  <si>
    <t>Number of Strategic Sectors</t>
  </si>
  <si>
    <t>§38B(c)(1)(A)-(N) + §38B(c)(1)(O) catch-all</t>
  </si>
  <si>
    <t>MANNIE MAC — Manufacturing Finance Corporation Act</t>
  </si>
  <si>
    <t>Government-sponsored enterprise providing loan guarantees for manufacturing investment</t>
  </si>
  <si>
    <t>Initial Appropriation ($B)</t>
  </si>
  <si>
    <t>MFC Act §4(a)</t>
  </si>
  <si>
    <t>Loan Loss Reserves ($B)</t>
  </si>
  <si>
    <t>MFC Act §4(b)</t>
  </si>
  <si>
    <t>Default Rate — Low (%)</t>
  </si>
  <si>
    <t>MFC Act stress model</t>
  </si>
  <si>
    <t>Default Rate — High (%)</t>
  </si>
  <si>
    <t>Recovery Rate (%)</t>
  </si>
  <si>
    <t>FDIC/SBA historical</t>
  </si>
  <si>
    <t>Weighted Guarantee Rate (%)</t>
  </si>
  <si>
    <t>MFC tiered structure</t>
  </si>
  <si>
    <t>Debt/Equity Ratio</t>
  </si>
  <si>
    <t>Conservative assumption</t>
  </si>
  <si>
    <t>Guarantee Fee — Effective Blended (%)</t>
  </si>
  <si>
    <t>GSE benchmark: Fannie/Freddie avg g-fee 35-55 bps; 40 bps conservative</t>
  </si>
  <si>
    <t>Securitization Spread (%)</t>
  </si>
  <si>
    <t>Fannie/Freddie MBS spread precedent (15 bps)</t>
  </si>
  <si>
    <t>Securitization Rate (% of portfolio)</t>
  </si>
  <si>
    <t>Conservative: Fannie securitizes ~70%; new mfg market = lower</t>
  </si>
  <si>
    <t>Secondary Market Spread (%)</t>
  </si>
  <si>
    <t>Trading fees + servicing premium on securitized MBS tranches</t>
  </si>
  <si>
    <t>Admin &amp; Technology Budget ($B, 10-yr)</t>
  </si>
  <si>
    <t>MFC Act §4(b): IT systems, staffing, compliance</t>
  </si>
  <si>
    <t>Working Capital ($B)</t>
  </si>
  <si>
    <t>MFC Act §4(b): operational liquidity</t>
  </si>
  <si>
    <t>Capital Buffer ($B)</t>
  </si>
  <si>
    <t>Residual after exact buy-down coverage: Approp − Reserves − Admin − Working − Buy-Down Req</t>
  </si>
  <si>
    <t>Portfolio Ramp-Up (years to full)</t>
  </si>
  <si>
    <t>Conservative deployment</t>
  </si>
  <si>
    <t>Interest Rate Buy-Down (%)</t>
  </si>
  <si>
    <t>MFC Act §6(c): upfront discount points reducing borrower rate</t>
  </si>
  <si>
    <t>Avg Loan Term (years)</t>
  </si>
  <si>
    <t>Weighted avg: equipment 3-7yr, SBA 504 10-20yr, CRE 5-10yr</t>
  </si>
  <si>
    <t>DERIVED INPUTS</t>
  </si>
  <si>
    <t>Annual Operating Cost ($B/yr)</t>
  </si>
  <si>
    <t>(Admin + Working Capital) ÷ 10 years</t>
  </si>
  <si>
    <t>Interest Rate Buy-Down Available ($B)</t>
  </si>
  <si>
    <t>Appropriation residual: $25B − Reserves − Admin − Working − Buffer</t>
  </si>
  <si>
    <t xml:space="preserve">  Check: Total Allocation ($B)</t>
  </si>
  <si>
    <t>Should equal B6 ($25B)</t>
  </si>
  <si>
    <t>CALCULATIONS</t>
  </si>
  <si>
    <t>STEP 1: LOSS GIVEN DEFAULT (LGD)</t>
  </si>
  <si>
    <t>Loss Given Default (1 − Recovery Rate)</t>
  </si>
  <si>
    <t>1 − 35% = 65% of each default is lost</t>
  </si>
  <si>
    <t>STEP 2: NET LOSS RATE PER DOLLAR LOANED</t>
  </si>
  <si>
    <t>Net Loss Rate — Low</t>
  </si>
  <si>
    <t>Default Rate × LGD</t>
  </si>
  <si>
    <t>Net Loss Rate — High</t>
  </si>
  <si>
    <t>STEP 3: RESERVE REQUIRED PER DOLLAR GUARANTEED</t>
  </si>
  <si>
    <t>Reserve per $1 Guaranteed — Low</t>
  </si>
  <si>
    <t>Net Loss Rate × Guarantee Rate</t>
  </si>
  <si>
    <t>Reserve per $1 Guaranteed — High</t>
  </si>
  <si>
    <t>STEP 4: GUARANTEED LOAN CAPACITY</t>
  </si>
  <si>
    <t>Guaranteed Loan Capacity — Low ($B)</t>
  </si>
  <si>
    <t>Reserves ÷ Reserve/$ (high default = low capacity)</t>
  </si>
  <si>
    <t>Guaranteed Loan Capacity — High ($B)</t>
  </si>
  <si>
    <t>Reserves ÷ Reserve/$ (low default = high capacity)</t>
  </si>
  <si>
    <t>STEP 5: TOTAL INVESTMENT MOBILIZED</t>
  </si>
  <si>
    <t>Total Investment Mobilized — Low ($B)</t>
  </si>
  <si>
    <t>Loan Capacity ÷ D/E Ratio</t>
  </si>
  <si>
    <t>Total Investment Mobilized — High ($B)</t>
  </si>
  <si>
    <t>STEP 6: 10-YEAR REVENUE</t>
  </si>
  <si>
    <t>Steady-State Guaranteed Volume ($B)</t>
  </si>
  <si>
    <t>Mid-point of low/high capacity at full deployment</t>
  </si>
  <si>
    <t>Ramp-Up Period (years)</t>
  </si>
  <si>
    <t>Steady-State Period (years)</t>
  </si>
  <si>
    <t>Ramp-Up Revenue-Years</t>
  </si>
  <si>
    <t>Linear ramp 0→full: avg utilization = 50%</t>
  </si>
  <si>
    <t>Steady-State Revenue-Years</t>
  </si>
  <si>
    <t>Total Effective Revenue-Years</t>
  </si>
  <si>
    <t>Avg Guaranteed Volume Outstanding ($B)</t>
  </si>
  <si>
    <t>Steady-state volume × (effective years ÷ 10)</t>
  </si>
  <si>
    <t>Annual Guarantee Fee Revenue ($B)</t>
  </si>
  <si>
    <t>Avg volume × 40 bps GSE benchmark fee</t>
  </si>
  <si>
    <t>Annual Securitization Spread Revenue ($B)</t>
  </si>
  <si>
    <t>Avg volume × 15 bps</t>
  </si>
  <si>
    <t>Annual Secondary Market Revenue ($B)</t>
  </si>
  <si>
    <t>Avg volume × securitization rate × secondary mkt spread</t>
  </si>
  <si>
    <t>Total Annual Revenue ($B)</t>
  </si>
  <si>
    <t>10-Year Cumulative Revenue ($B)</t>
  </si>
  <si>
    <t>STEP 7: COSTS (all paid from $25B appropriation)</t>
  </si>
  <si>
    <t>10-Year Operating Costs ($B)</t>
  </si>
  <si>
    <t>Annual opex × 10</t>
  </si>
  <si>
    <t>Expected Cumulative Losses ($B)</t>
  </si>
  <si>
    <t>Avg Net Loss Rate × Avg Capacity × Guarantee Rate</t>
  </si>
  <si>
    <t>Interest Rate Buy-Down Allocated ($B)</t>
  </si>
  <si>
    <t>From derived input (appropriation residual)</t>
  </si>
  <si>
    <t>Total 10-Year Costs ($B)</t>
  </si>
  <si>
    <t>Opex + losses + buy-down</t>
  </si>
  <si>
    <t>STEP 8: BUY-DOWN COVERAGE (Origination Points Model)</t>
  </si>
  <si>
    <t>Buy-Down Rate (from bill)</t>
  </si>
  <si>
    <t>Upfront discount points per loan originated (not annual subsidy)</t>
  </si>
  <si>
    <t>Avg Loan Term (from bill)</t>
  </si>
  <si>
    <t>Weighted avg manufacturing loan life</t>
  </si>
  <si>
    <t>Total 10-Year Originations ($B)</t>
  </si>
  <si>
    <t>Steady-state portfolio × (scoring window ÷ avg loan term)</t>
  </si>
  <si>
    <t xml:space="preserve">  Logic: portfolio turns over every ~7 yrs; 10/7 = 1.43 cycles</t>
  </si>
  <si>
    <t>Total 10-Year Buy-Down Requirement ($B)</t>
  </si>
  <si>
    <t>Total originations × buy-down rate (one-time payment per loan)</t>
  </si>
  <si>
    <t>Buy-Down Funds Available ($B)</t>
  </si>
  <si>
    <t>Allocated from appropriation residual</t>
  </si>
  <si>
    <t>Coverage Ratio</t>
  </si>
  <si>
    <t>Available ÷ Required (≥100% = fully funded)</t>
  </si>
  <si>
    <t>Surplus / (Shortfall) ($B)</t>
  </si>
  <si>
    <t>Positive = headroom; negative = underfunded</t>
  </si>
  <si>
    <t>CROSS-CHECK</t>
  </si>
  <si>
    <t>Buy-Down Capacity ($B portfolio coverage)</t>
  </si>
  <si>
    <t>Available ÷ buy-down rate = total loan originations fund can cover</t>
  </si>
  <si>
    <t>Steady-State Portfolio ($B)</t>
  </si>
  <si>
    <t>Capacity vs. Portfolio</t>
  </si>
  <si>
    <t>$385B capacity ÷ $282B portfolio — exceeds one full cycle</t>
  </si>
  <si>
    <t>Years of Coverage at Steady State</t>
  </si>
  <si>
    <t>(Capacity ÷ portfolio) × avg loan life = years before fund depleted</t>
  </si>
  <si>
    <t>STEP 9: NET FEDERAL COST</t>
  </si>
  <si>
    <t>Gross Federal Outlay ($B)</t>
  </si>
  <si>
    <t>Less: 10-Year Revenue Returned to Treasury ($B)</t>
  </si>
  <si>
    <t>NET 10-YEAR FEDERAL COST ($B)</t>
  </si>
  <si>
    <t>Appropriation minus revenue returned to Treasury</t>
  </si>
  <si>
    <t>Memo: Capital consumed by Year 10 ($B)</t>
  </si>
  <si>
    <t>Total costs from Step 7</t>
  </si>
  <si>
    <t>Memo: Residual capital on GSE books ($B)</t>
  </si>
  <si>
    <t>Memo: Capital Buffer undrawn ($B)</t>
  </si>
  <si>
    <t>Note: Revenue offsets appropriation. Residual remains on Mannie Mac books.</t>
  </si>
  <si>
    <t xml:space="preserve">  Not counted as offset per standard CBO scoring of GSE appropriations.</t>
  </si>
  <si>
    <t>Mannie Mac Gross Appropriation ($B)</t>
  </si>
  <si>
    <t>Mannie Mac Net 10-Yr Federal Cost ($B)</t>
  </si>
  <si>
    <t>Guaranteed Loan Capacity — Avg ($B)</t>
  </si>
  <si>
    <t>Total Investment Mobilized — Avg ($B)</t>
  </si>
  <si>
    <t>Buy-Down Coverage Ratio</t>
  </si>
  <si>
    <t>SENSITIVITY: Federal Cost per 1% Loan Default Rate ($B)</t>
  </si>
  <si>
    <t>Avg Volume × Guarantee % × LGD × 1%</t>
  </si>
  <si>
    <t xml:space="preserve">  Reserve exhaustion point (pp above modeled rate)</t>
  </si>
  <si>
    <t xml:space="preserve">  Additional default pp covered by Capital Buffer</t>
  </si>
  <si>
    <t>Buffer ($B) ÷ cost per 1pp default = extra pp of protection beyond reserves</t>
  </si>
  <si>
    <t>MERA — Manufacturing Entrepreneur Rewards Act</t>
  </si>
  <si>
    <t>QSBS-style capital gains exclusions + enhanced unified credit for manufacturing succession</t>
  </si>
  <si>
    <t>Track 1: Additional Unified Credit ($M)</t>
  </si>
  <si>
    <t>MERA §2(a)</t>
  </si>
  <si>
    <t>Track 2: CG Exclusion Percentage</t>
  </si>
  <si>
    <t>MERA §3(a)</t>
  </si>
  <si>
    <t>Track 2: CG Exclusion Cap ($M)</t>
  </si>
  <si>
    <t>MERA §3(b)</t>
  </si>
  <si>
    <t>Holding Period (years)</t>
  </si>
  <si>
    <t>MERA §3(c)</t>
  </si>
  <si>
    <t>Debt Ceiling Ratio</t>
  </si>
  <si>
    <t>MERA §3(d)</t>
  </si>
  <si>
    <t>Target Companies (boomer-owned mfg)</t>
  </si>
  <si>
    <t>Census/SBA estimate</t>
  </si>
  <si>
    <t>Track 1 Uptake — Low</t>
  </si>
  <si>
    <t>Conservative: adjusted for higher per-transfer benefit</t>
  </si>
  <si>
    <t>Track 1 Uptake — High</t>
  </si>
  <si>
    <t>Optimistic: adjusted for higher per-transfer benefit</t>
  </si>
  <si>
    <t>Track 2 Uptake — Low</t>
  </si>
  <si>
    <t>Conservative: adjusted for higher per-transaction benefit</t>
  </si>
  <si>
    <t>Track 2 Uptake — High</t>
  </si>
  <si>
    <t>Optimistic: adjusted for higher per-transaction benefit</t>
  </si>
  <si>
    <t>Avg Transfer Tax Benefit per Company ($M)</t>
  </si>
  <si>
    <t>Derived: Census SUSB mfg firm size dist × 40% estate rate</t>
  </si>
  <si>
    <t>Avg CG Tax Savings per Transaction ($M)</t>
  </si>
  <si>
    <t>Derived: GF Data/BizBuySell median mfg sale × gain ratio × CG rate</t>
  </si>
  <si>
    <t>Substitution Interaction Rate</t>
  </si>
  <si>
    <t>Estimated overlap rate between Track 1 &amp; Track 2 populations</t>
  </si>
  <si>
    <t xml:space="preserve">  (Applied to smaller track cost; see derivation below)</t>
  </si>
  <si>
    <t>Track 1 Cost — Low ($B)</t>
  </si>
  <si>
    <t>Track 1 Cost — High ($B)</t>
  </si>
  <si>
    <t>Track 2 Cost — Low ($B)</t>
  </si>
  <si>
    <t>Track 2 Cost — High ($B)</t>
  </si>
  <si>
    <t>Substitution Interaction — High ($B)</t>
  </si>
  <si>
    <t>Total MERA Cost — Low ($B)</t>
  </si>
  <si>
    <t>Total MERA Cost — High ($B)</t>
  </si>
  <si>
    <t>Substitution Interaction — Low ($B) [embedded in total above]</t>
  </si>
  <si>
    <t>MERA 10-Yr Cost — Low ($B)</t>
  </si>
  <si>
    <t>MERA 10-Yr Cost — High ($B)</t>
  </si>
  <si>
    <t>DERIVATION: PER-COMPANY BENEFIT METHODOLOGY</t>
  </si>
  <si>
    <t>TRACK 1: $5M AVG TRANSFER TAX BENEFIT</t>
  </si>
  <si>
    <t>Census SUSB NAICS 31-33 employer firm size distribution:</t>
  </si>
  <si>
    <t xml:space="preserve">  ~60% have &lt;20 employees → EV $3-10M (below $14M exemption, no MERA benefit)</t>
  </si>
  <si>
    <t xml:space="preserve">  ~25% have 20-99 employees → EV $15-40M (moderate MERA benefit)</t>
  </si>
  <si>
    <t xml:space="preserve">  ~15% have 100+ employees → EV $40M+ (substantial MERA benefit)</t>
  </si>
  <si>
    <t>For firms exceeding $14M exemption, size-weighted avg taxable excess: ~$12.5M</t>
  </si>
  <si>
    <t>At 40% estate rate: $12.5M × 40% = $5.0M avg benefit per qualifying transfer</t>
  </si>
  <si>
    <t>Sources: Census SUSB 2021; IRS SOI Estate Tax Statistics; BEA NIPA</t>
  </si>
  <si>
    <t>TRACK 2: $5M AVG CG TAX SAVINGS</t>
  </si>
  <si>
    <t>GF Data/BizBuySell mid-market mfg transactions:</t>
  </si>
  <si>
    <t xml:space="preserve">  Median sale price for mfg employer firms: $15-35M</t>
  </si>
  <si>
    <t xml:space="preserve">  Avg cost basis as % of sale: 15-25% (long-held businesses)</t>
  </si>
  <si>
    <t xml:space="preserve">  Avg capital gain: ~$21M (midpoint of $12-30M range)</t>
  </si>
  <si>
    <t xml:space="preserve">  Blended CG rate (federal 20% + 3.8% NIIT): 23.8%</t>
  </si>
  <si>
    <t xml:space="preserve">  Avg CG tax saved: $21M × 23.8% = $5.0M</t>
  </si>
  <si>
    <t>Sources: GF Data M&amp;A Report; BizBuySell Insight Report; IRS CG rates</t>
  </si>
  <si>
    <t>UPTAKE RATE ADJUSTMENT</t>
  </si>
  <si>
    <t>Higher per-company benefits imply claiming cohort skews toward larger firms.</t>
  </si>
  <si>
    <t>Larger firms are fewer in number → narrower uptake ranges vs. original model.</t>
  </si>
  <si>
    <t>Track 1: 3-8% (was 4-12%); Track 2: 2.5-4% (was 3.2-5.6%)</t>
  </si>
  <si>
    <t>Net effect: higher per-transfer cost × fewer transfers = ~2.5-3x MERA total</t>
  </si>
  <si>
    <t>SUBSTITUTION INTERACTION METHODOLOGY</t>
  </si>
  <si>
    <t>The substitution interaction captures population overlap between Track 1 and Track 2.</t>
  </si>
  <si>
    <t>Both tracks draw from the same universe of 125,000 boomer-owned manufacturers.</t>
  </si>
  <si>
    <t>Some firms are "marginal" — they could plausibly use either track.</t>
  </si>
  <si>
    <t>LOW-END (additive): At low uptake rates, having both tracks available induces</t>
  </si>
  <si>
    <t xml:space="preserve">  some transfers that wouldn't occur under either track alone. The availability</t>
  </si>
  <si>
    <t xml:space="preserve">  of a fallback option (sell if family can't take over, or transfer if sale</t>
  </si>
  <si>
    <t xml:space="preserve">  falls through) encourages more owners to initiate succession planning.</t>
  </si>
  <si>
    <t xml:space="preserve">  Formula: +Rate × MIN(Track1_Low, Track2_Low)</t>
  </si>
  <si>
    <t>HIGH-END (subtractive): At high uptake rates, some firms counted in Track 2's</t>
  </si>
  <si>
    <t xml:space="preserve">  potential population will actually choose Track 1 (family transfer preferred</t>
  </si>
  <si>
    <t xml:space="preserve">  when estate tax relief is generous). This reduces the naïve sum. Empirical</t>
  </si>
  <si>
    <t xml:space="preserve">  support: Exit Planning Institute data shows ~65% of business owners prefer</t>
  </si>
  <si>
    <t xml:space="preserve">  family succession when tax barriers are removed.</t>
  </si>
  <si>
    <t xml:space="preserve">  Formula: −Rate × MIN(Track1_High, Track2_High)</t>
  </si>
  <si>
    <t>The 8% rate is applied to the SMALLER of the two track costs, representing</t>
  </si>
  <si>
    <t xml:space="preserve">  the marginal population that could credibly switch between tracks.</t>
  </si>
  <si>
    <t xml:space="preserve">  At 8%, this implies ~8% of the claimant population is indifferent between</t>
  </si>
  <si>
    <t xml:space="preserve">  family transfer and external sale — consistent with succession planning</t>
  </si>
  <si>
    <t xml:space="preserve">  literature showing ~10-15% of owners are genuinely undecided at any point.</t>
  </si>
  <si>
    <t xml:space="preserve">  Sources: Exit Planning Institute; PWC Family Business Survey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</si>
</sst>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0"/>
    <numFmt numFmtId="165" formatCode="0.0"/>
    <numFmt numFmtId="166" formatCode="0.00\×"/>
    <numFmt numFmtId="167" formatCode="\$#,##0"/>
    <numFmt numFmtId="168" formatCode="\$#,##0.0"/>
    <numFmt numFmtId="169" formatCode="0.0%"/>
    <numFmt numFmtId="170" formatCode="0.000"/>
    <numFmt numFmtId="171" formatCode="\$#,##0.000"/>
    <numFmt numFmtId="172" formatCode="0.0000"/>
    <numFmt numFmtId="173" formatCode="0.000%"/>
  </numFmts>
  <fonts count="29" x14ac:knownFonts="1">
    <font>
      <sz val="11"/>
      <color theme="1"/>
      <name val="Calibri"/>
      <family val="2"/>
      <charset val="1"/>
    </font>
    <font>
      <sz val="10"/>
      <name val="Arial"/>
      <family val="2"/>
    </font>
    <font>
      <b/>
      <sz val="20"/>
      <name val="Arial"/>
      <family val="2"/>
      <charset val="1"/>
    </font>
    <font>
      <b/>
      <sz val="14"/>
      <color rgb="FF1F4E79"/>
      <name val="Arial"/>
      <family val="2"/>
      <charset val="1"/>
    </font>
    <font>
      <sz val="10"/>
      <name val="Arial"/>
      <family val="2"/>
      <charset val="1"/>
    </font>
    <font>
      <b/>
      <sz val="13"/>
      <name val="Arial"/>
      <family val="2"/>
      <charset val="1"/>
    </font>
    <font>
      <b/>
      <sz val="10"/>
      <name val="Arial"/>
      <family val="2"/>
      <charset val="1"/>
    </font>
    <font>
      <b/>
      <sz val="10"/>
      <color rgb="FFFFFFFF"/>
      <name val="Arial"/>
      <family val="2"/>
      <charset val="1"/>
    </font>
    <font>
      <sz val="10"/>
      <color rgb="FF008000"/>
      <name val="Arial"/>
      <family val="2"/>
      <charset val="1"/>
    </font>
    <font>
      <b/>
      <sz val="11"/>
      <color rgb="FF000000"/>
      <name val="Arial"/>
      <family val="2"/>
      <charset val="1"/>
    </font>
    <font>
      <b/>
      <sz val="11"/>
      <name val="Arial"/>
      <family val="2"/>
      <charset val="1"/>
    </font>
    <font>
      <i/>
      <sz val="10"/>
      <color rgb="FF666666"/>
      <name val="Arial"/>
      <family val="2"/>
      <charset val="1"/>
    </font>
    <font>
      <sz val="10"/>
      <color rgb="FF808080"/>
      <name val="Arial"/>
      <family val="2"/>
      <charset val="1"/>
    </font>
    <font>
      <b/>
      <sz val="16"/>
      <name val="Arial"/>
      <family val="2"/>
      <charset val="1"/>
    </font>
    <font>
      <sz val="10"/>
      <color rgb="FF0000FF"/>
      <name val="Arial"/>
      <family val="2"/>
      <charset val="1"/>
    </font>
    <font>
      <sz val="9"/>
      <color rgb="FF808080"/>
      <name val="Cambria"/>
      <family val="1"/>
      <charset val="1"/>
    </font>
    <font>
      <b/>
      <sz val="9"/>
      <name val="Cambria"/>
      <family val="1"/>
      <charset val="1"/>
    </font>
    <font>
      <sz val="9"/>
      <color rgb="FF006600"/>
      <name val="Cambria"/>
      <family val="1"/>
      <charset val="1"/>
    </font>
    <font>
      <b/>
      <u/>
      <sz val="10"/>
      <name val="Arial"/>
      <family val="2"/>
      <charset val="1"/>
    </font>
    <font>
      <i/>
      <sz val="9"/>
      <color rgb="FF666666"/>
      <name val="Arial"/>
      <family val="2"/>
      <charset val="1"/>
    </font>
    <font>
      <sz val="10"/>
      <color rgb="FF000000"/>
      <name val="Arial"/>
      <family val="2"/>
      <charset val="1"/>
    </font>
    <font>
      <sz val="11"/>
      <color rgb="FF008000"/>
      <name val="Cambria"/>
      <family val="1"/>
      <charset val="1"/>
    </font>
    <font>
      <b/>
      <sz val="10"/>
      <color rgb="FF666666"/>
      <name val="Cambria"/>
      <family val="1"/>
      <charset val="1"/>
    </font>
    <font>
      <b/>
      <sz val="9"/>
      <color rgb="FF666666"/>
      <name val="Cambria"/>
      <family val="1"/>
      <charset val="1"/>
    </font>
    <font>
      <i/>
      <sz val="9"/>
      <color rgb="FF808080"/>
      <name val="Cambria"/>
      <family val="1"/>
      <charset val="1"/>
    </font>
    <font>
      <sz val="11"/>
      <name val="Cambria"/>
      <family val="1"/>
      <charset val="1"/>
    </font>
    <font>
      <sz val="11"/>
      <color rgb="FF0000FF"/>
      <name val="Arial"/>
      <family val="2"/>
      <charset val="1"/>
    </font>
    <font>
      <sz val="11"/>
      <color rgb="FF000000"/>
      <name val="Arial"/>
      <family val="2"/>
      <charset val="1"/>
    </font>
    <font>
      <sz val="10"/>
      <color rgb="FF000000"/>
      <name val="Consolas"/>
      <family val="2"/>
      <charset val="1"/>
    </font>
  </fonts>
  <fills count="11">
    <fill>
      <patternFill patternType="none"/>
    </fill>
    <fill>
      <patternFill patternType="gray125"/>
    </fill>
    <fill>
      <patternFill patternType="solid">
        <fgColor rgb="FF1F4E79"/>
        <bgColor rgb="FF003366"/>
      </patternFill>
    </fill>
    <fill>
      <patternFill patternType="solid">
        <fgColor rgb="FFE3F2FD"/>
        <bgColor rgb="FFE8F5E9"/>
      </patternFill>
    </fill>
    <fill>
      <patternFill patternType="solid">
        <fgColor rgb="FFFFF8E1"/>
        <bgColor rgb="FFFFFFCC"/>
      </patternFill>
    </fill>
    <fill>
      <patternFill patternType="solid">
        <fgColor rgb="FFE8F5E9"/>
        <bgColor rgb="FFF0F0F0"/>
      </patternFill>
    </fill>
    <fill>
      <patternFill patternType="solid">
        <fgColor rgb="FFD6E4F0"/>
        <bgColor rgb="FFE3F2FD"/>
      </patternFill>
    </fill>
    <fill>
      <patternFill patternType="solid">
        <fgColor rgb="FFFFFFCC"/>
        <bgColor rgb="FFFFF8E1"/>
      </patternFill>
    </fill>
    <fill>
      <patternFill patternType="solid">
        <fgColor rgb="FFFFFF00"/>
        <bgColor rgb="FFFFFF00"/>
      </patternFill>
    </fill>
    <fill>
      <patternFill patternType="solid">
        <fgColor rgb="FFF0F0F0"/>
        <bgColor rgb="FFE8F5E9"/>
      </patternFill>
    </fill>
    <fill>
      <patternFill patternType="solid">
        <fgColor rgb="FFF0FFF0"/>
        <bgColor rgb="FFE8F5E9"/>
      </patternFill>
    </fill>
  </fills>
  <borders count="2">
    <border>
      <left/>
      <right/>
      <top/>
      <bottom/>
      <diagonal/>
    </border>
    <border>
      <left style="thin">
        <color rgb="FFCCCCCC"/>
      </left>
      <right style="thin">
        <color rgb="FFCCCCCC"/>
      </right>
      <top style="thin">
        <color rgb="FFCCCCCC"/>
      </top>
      <bottom style="thin">
        <color rgb="FFCCCCCC"/>
      </bottom>
      <diagonal/>
    </border>
  </borders>
  <cellStyleXfs count="1">
    <xf numFmtId="0" fontId="0" fillId="0" borderId="0"/>
  </cellStyleXfs>
  <cellXfs count="147">
    <xf numFmtId="0" fontId="0" fillId="0" borderId="0" xfId="0"/>
    <xf numFmtId="0" fontId="19" fillId="0" borderId="0" xfId="0" applyFont="1" applyAlignment="1">
      <alignment vertical="top" wrapText="1"/>
    </xf>
    <xf numFmtId="0" fontId="18" fillId="0" borderId="0" xfId="0" applyFont="1"/>
    <xf numFmtId="0" fontId="4" fillId="0" borderId="0" xfId="0" applyFont="1" applyAlignment="1">
      <alignment vertical="top" wrapText="1"/>
    </xf>
    <xf numFmtId="0" fontId="0" fillId="0" borderId="0" xfId="0"/>
    <xf numFmtId="0" fontId="2" fillId="0" borderId="0" xfId="0" applyFont="1"/>
    <xf numFmtId="0" fontId="3" fillId="0" borderId="0" xfId="0" applyFont="1"/>
    <xf numFmtId="0" fontId="4" fillId="0" borderId="0" xfId="0" applyFont="1"/>
    <xf numFmtId="0" fontId="5" fillId="0" borderId="0" xfId="0" applyFont="1"/>
    <xf numFmtId="0" fontId="6" fillId="0" borderId="0" xfId="0" applyFont="1"/>
    <xf numFmtId="0" fontId="4" fillId="0" borderId="0" xfId="0" applyFont="1" applyAlignment="1">
      <alignment horizontal="left" vertical="center" wrapText="1"/>
    </xf>
    <xf numFmtId="0" fontId="7" fillId="2" borderId="1" xfId="0" applyFont="1" applyFill="1" applyBorder="1" applyAlignment="1">
      <alignment horizontal="center" vertical="center" wrapText="1"/>
    </xf>
    <xf numFmtId="0" fontId="6" fillId="0" borderId="1" xfId="0" applyFont="1" applyBorder="1"/>
    <xf numFmtId="164" fontId="8" fillId="3" borderId="1" xfId="0" applyNumberFormat="1" applyFont="1" applyFill="1" applyBorder="1"/>
    <xf numFmtId="165" fontId="8" fillId="3" borderId="1" xfId="0" applyNumberFormat="1" applyFont="1" applyFill="1" applyBorder="1"/>
    <xf numFmtId="166" fontId="8" fillId="3" borderId="1" xfId="0" applyNumberFormat="1" applyFont="1" applyFill="1" applyBorder="1"/>
    <xf numFmtId="167" fontId="8" fillId="3" borderId="1" xfId="0" applyNumberFormat="1" applyFont="1" applyFill="1" applyBorder="1"/>
    <xf numFmtId="0" fontId="9" fillId="0" borderId="0" xfId="0" applyFont="1"/>
    <xf numFmtId="0" fontId="4" fillId="4"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4" borderId="1"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10" fillId="0" borderId="0" xfId="0" applyFont="1"/>
    <xf numFmtId="0" fontId="11" fillId="0" borderId="0" xfId="0" applyFont="1" applyAlignment="1">
      <alignment horizontal="left" vertical="center" wrapText="1"/>
    </xf>
    <xf numFmtId="0" fontId="12" fillId="0" borderId="0" xfId="0" applyFont="1"/>
    <xf numFmtId="0" fontId="13" fillId="0" borderId="0" xfId="0" applyFont="1"/>
    <xf numFmtId="0" fontId="10" fillId="6" borderId="0" xfId="0" applyFont="1" applyFill="1"/>
    <xf numFmtId="0" fontId="0" fillId="6" borderId="0" xfId="0" applyFill="1"/>
    <xf numFmtId="168" fontId="14" fillId="7" borderId="1" xfId="0" applyNumberFormat="1" applyFont="1" applyFill="1" applyBorder="1" applyAlignment="1">
      <alignment horizontal="right" vertical="center"/>
    </xf>
    <xf numFmtId="0" fontId="12" fillId="0" borderId="1" xfId="0" applyFont="1" applyBorder="1"/>
    <xf numFmtId="0" fontId="12" fillId="0" borderId="1" xfId="0" applyFont="1" applyBorder="1" applyAlignment="1">
      <alignment horizontal="center" vertical="center" wrapText="1"/>
    </xf>
    <xf numFmtId="164" fontId="14" fillId="7" borderId="1" xfId="0" applyNumberFormat="1" applyFont="1" applyFill="1" applyBorder="1" applyAlignment="1">
      <alignment horizontal="right" vertical="center"/>
    </xf>
    <xf numFmtId="165" fontId="14" fillId="7" borderId="1" xfId="0" applyNumberFormat="1" applyFont="1" applyFill="1" applyBorder="1" applyAlignment="1">
      <alignment horizontal="right" vertical="center"/>
    </xf>
    <xf numFmtId="167" fontId="14" fillId="7" borderId="1" xfId="0" applyNumberFormat="1" applyFont="1" applyFill="1" applyBorder="1" applyAlignment="1">
      <alignment horizontal="right" vertical="center"/>
    </xf>
    <xf numFmtId="2" fontId="14" fillId="7" borderId="1" xfId="0" applyNumberFormat="1" applyFont="1" applyFill="1" applyBorder="1" applyAlignment="1">
      <alignment horizontal="right" vertical="center"/>
    </xf>
    <xf numFmtId="9" fontId="14" fillId="7" borderId="1" xfId="0" applyNumberFormat="1" applyFont="1" applyFill="1" applyBorder="1" applyAlignment="1">
      <alignment horizontal="right" vertical="center"/>
    </xf>
    <xf numFmtId="169" fontId="14" fillId="7" borderId="1" xfId="0" applyNumberFormat="1" applyFont="1" applyFill="1" applyBorder="1" applyAlignment="1">
      <alignment horizontal="right" vertical="center"/>
    </xf>
    <xf numFmtId="0" fontId="0" fillId="8" borderId="0" xfId="0" applyFill="1"/>
    <xf numFmtId="0" fontId="15" fillId="0" borderId="1" xfId="0" applyFont="1" applyBorder="1"/>
    <xf numFmtId="0" fontId="15" fillId="0" borderId="1" xfId="0" applyFont="1" applyBorder="1" applyAlignment="1">
      <alignment horizontal="center"/>
    </xf>
    <xf numFmtId="0" fontId="16" fillId="0" borderId="0" xfId="0" applyFont="1"/>
    <xf numFmtId="170" fontId="17" fillId="0" borderId="0" xfId="0" applyNumberFormat="1" applyFont="1" applyAlignment="1">
      <alignment horizontal="right"/>
    </xf>
    <xf numFmtId="0" fontId="15" fillId="0" borderId="0" xfId="0" applyFont="1"/>
    <xf numFmtId="0" fontId="15" fillId="0" borderId="0" xfId="0" applyFont="1" applyAlignment="1">
      <alignment horizontal="center"/>
    </xf>
    <xf numFmtId="3" fontId="17" fillId="7" borderId="0" xfId="0" applyNumberFormat="1" applyFont="1" applyFill="1" applyAlignment="1">
      <alignment horizontal="right"/>
    </xf>
    <xf numFmtId="0" fontId="4" fillId="0" borderId="0" xfId="0" applyFont="1" applyAlignment="1">
      <alignment vertical="top" wrapText="1"/>
    </xf>
    <xf numFmtId="0" fontId="18" fillId="0" borderId="0" xfId="0" applyFont="1"/>
    <xf numFmtId="0" fontId="19" fillId="0" borderId="0" xfId="0" applyFont="1" applyAlignment="1">
      <alignment vertical="top" wrapText="1"/>
    </xf>
    <xf numFmtId="168" fontId="8" fillId="0" borderId="1" xfId="0" applyNumberFormat="1" applyFont="1" applyBorder="1"/>
    <xf numFmtId="168" fontId="6" fillId="3" borderId="1" xfId="0" applyNumberFormat="1" applyFont="1" applyFill="1" applyBorder="1"/>
    <xf numFmtId="168" fontId="0" fillId="0" borderId="0" xfId="0" applyNumberFormat="1"/>
    <xf numFmtId="164" fontId="20" fillId="3" borderId="1" xfId="0" applyNumberFormat="1" applyFont="1" applyFill="1" applyBorder="1"/>
    <xf numFmtId="168" fontId="20" fillId="0" borderId="1" xfId="0" applyNumberFormat="1" applyFont="1" applyBorder="1"/>
    <xf numFmtId="2" fontId="20" fillId="0" borderId="1" xfId="0" applyNumberFormat="1" applyFont="1" applyBorder="1"/>
    <xf numFmtId="169" fontId="14" fillId="7" borderId="1" xfId="0" applyNumberFormat="1" applyFont="1" applyFill="1" applyBorder="1"/>
    <xf numFmtId="165" fontId="20" fillId="0" borderId="1" xfId="0" applyNumberFormat="1" applyFont="1" applyBorder="1"/>
    <xf numFmtId="167" fontId="20" fillId="0" borderId="1" xfId="0" applyNumberFormat="1" applyFont="1" applyBorder="1"/>
    <xf numFmtId="165" fontId="20" fillId="3" borderId="1" xfId="0" applyNumberFormat="1" applyFont="1" applyFill="1" applyBorder="1"/>
    <xf numFmtId="166" fontId="20" fillId="3" borderId="1" xfId="0" applyNumberFormat="1" applyFont="1" applyFill="1" applyBorder="1"/>
    <xf numFmtId="167" fontId="20" fillId="3" borderId="1" xfId="0" applyNumberFormat="1" applyFont="1" applyFill="1" applyBorder="1"/>
    <xf numFmtId="167" fontId="14" fillId="7" borderId="1" xfId="0" applyNumberFormat="1" applyFont="1" applyFill="1" applyBorder="1"/>
    <xf numFmtId="169" fontId="12" fillId="9" borderId="1" xfId="0" applyNumberFormat="1" applyFont="1" applyFill="1" applyBorder="1" applyAlignment="1">
      <alignment horizontal="right" vertical="center"/>
    </xf>
    <xf numFmtId="171" fontId="8" fillId="10" borderId="1" xfId="0" applyNumberFormat="1" applyFont="1" applyFill="1" applyBorder="1" applyAlignment="1">
      <alignment horizontal="right" vertical="center"/>
    </xf>
    <xf numFmtId="9" fontId="8" fillId="10" borderId="1" xfId="0" applyNumberFormat="1" applyFont="1" applyFill="1" applyBorder="1" applyAlignment="1">
      <alignment horizontal="right" vertical="center"/>
    </xf>
    <xf numFmtId="2" fontId="8" fillId="10" borderId="1" xfId="0" applyNumberFormat="1" applyFont="1" applyFill="1" applyBorder="1" applyAlignment="1">
      <alignment horizontal="right" vertical="center"/>
    </xf>
    <xf numFmtId="169" fontId="8" fillId="10" borderId="1" xfId="0" applyNumberFormat="1" applyFont="1" applyFill="1" applyBorder="1" applyAlignment="1">
      <alignment horizontal="right" vertical="center"/>
    </xf>
    <xf numFmtId="169" fontId="21" fillId="10" borderId="1" xfId="0" applyNumberFormat="1" applyFont="1" applyFill="1" applyBorder="1" applyAlignment="1">
      <alignment horizontal="right" vertical="center"/>
    </xf>
    <xf numFmtId="0" fontId="7" fillId="2" borderId="1" xfId="0" applyFont="1" applyFill="1" applyBorder="1"/>
    <xf numFmtId="171" fontId="20" fillId="0" borderId="1" xfId="0" applyNumberFormat="1" applyFont="1" applyBorder="1"/>
    <xf numFmtId="0" fontId="6" fillId="3" borderId="1" xfId="0" applyFont="1" applyFill="1" applyBorder="1"/>
    <xf numFmtId="168" fontId="20" fillId="3" borderId="1" xfId="0" applyNumberFormat="1" applyFont="1" applyFill="1" applyBorder="1"/>
    <xf numFmtId="171" fontId="0" fillId="0" borderId="0" xfId="0" applyNumberFormat="1"/>
    <xf numFmtId="0" fontId="10" fillId="5" borderId="0" xfId="0" applyFont="1" applyFill="1"/>
    <xf numFmtId="0" fontId="0" fillId="5" borderId="0" xfId="0" applyFill="1"/>
    <xf numFmtId="168" fontId="8" fillId="5" borderId="1" xfId="0" applyNumberFormat="1" applyFont="1" applyFill="1" applyBorder="1"/>
    <xf numFmtId="0" fontId="22" fillId="0" borderId="0" xfId="0" applyFont="1"/>
    <xf numFmtId="0" fontId="23" fillId="0" borderId="0" xfId="0" applyFont="1"/>
    <xf numFmtId="0" fontId="24" fillId="0" borderId="0" xfId="0" applyFont="1"/>
    <xf numFmtId="9" fontId="24" fillId="0" borderId="0" xfId="0" applyNumberFormat="1" applyFont="1"/>
    <xf numFmtId="1" fontId="24" fillId="0" borderId="0" xfId="0" applyNumberFormat="1" applyFont="1"/>
    <xf numFmtId="9" fontId="12" fillId="9" borderId="1" xfId="0" applyNumberFormat="1" applyFont="1" applyFill="1" applyBorder="1" applyAlignment="1">
      <alignment horizontal="right" vertical="center"/>
    </xf>
    <xf numFmtId="0" fontId="0" fillId="2" borderId="1" xfId="0" applyFill="1" applyBorder="1"/>
    <xf numFmtId="0" fontId="25" fillId="0" borderId="0" xfId="0" applyFont="1"/>
    <xf numFmtId="3" fontId="12" fillId="9" borderId="1" xfId="0" applyNumberFormat="1" applyFont="1" applyFill="1" applyBorder="1" applyAlignment="1">
      <alignment horizontal="right" vertical="center"/>
    </xf>
    <xf numFmtId="10" fontId="26" fillId="7" borderId="1" xfId="0" applyNumberFormat="1" applyFont="1" applyFill="1" applyBorder="1" applyAlignment="1">
      <alignment horizontal="right" vertical="center"/>
    </xf>
    <xf numFmtId="9" fontId="26" fillId="7" borderId="1" xfId="0" applyNumberFormat="1" applyFont="1" applyFill="1" applyBorder="1" applyAlignment="1">
      <alignment horizontal="right" vertical="center"/>
    </xf>
    <xf numFmtId="0" fontId="12" fillId="9" borderId="1" xfId="0" applyFont="1" applyFill="1" applyBorder="1"/>
    <xf numFmtId="165" fontId="12" fillId="9" borderId="1" xfId="0" applyNumberFormat="1" applyFont="1" applyFill="1" applyBorder="1" applyAlignment="1">
      <alignment horizontal="right" vertical="center"/>
    </xf>
    <xf numFmtId="168" fontId="26" fillId="7" borderId="1" xfId="0" applyNumberFormat="1" applyFont="1" applyFill="1" applyBorder="1" applyAlignment="1">
      <alignment horizontal="right" vertical="center"/>
    </xf>
    <xf numFmtId="1" fontId="12" fillId="9" borderId="1" xfId="0" applyNumberFormat="1" applyFont="1" applyFill="1" applyBorder="1" applyAlignment="1">
      <alignment horizontal="right" vertical="center"/>
    </xf>
    <xf numFmtId="168" fontId="26" fillId="0" borderId="0" xfId="0" applyNumberFormat="1" applyFont="1"/>
    <xf numFmtId="164" fontId="27" fillId="0" borderId="0" xfId="0" applyNumberFormat="1" applyFont="1"/>
    <xf numFmtId="0" fontId="27" fillId="0" borderId="0" xfId="0" applyFont="1"/>
    <xf numFmtId="1" fontId="26" fillId="0" borderId="0" xfId="0" applyNumberFormat="1" applyFont="1"/>
    <xf numFmtId="0" fontId="9" fillId="6" borderId="0" xfId="0" applyFont="1" applyFill="1"/>
    <xf numFmtId="10" fontId="26" fillId="6" borderId="0" xfId="0" applyNumberFormat="1" applyFont="1" applyFill="1"/>
    <xf numFmtId="0" fontId="27" fillId="6" borderId="0" xfId="0" applyFont="1" applyFill="1"/>
    <xf numFmtId="0" fontId="27" fillId="0" borderId="1" xfId="0" applyFont="1" applyBorder="1"/>
    <xf numFmtId="1" fontId="26" fillId="0" borderId="1" xfId="0" applyNumberFormat="1" applyFont="1" applyBorder="1"/>
    <xf numFmtId="0" fontId="9" fillId="0" borderId="1" xfId="0" applyFont="1" applyBorder="1"/>
    <xf numFmtId="165" fontId="27" fillId="0" borderId="1" xfId="0" applyNumberFormat="1" applyFont="1" applyBorder="1"/>
    <xf numFmtId="164" fontId="27" fillId="0" borderId="1" xfId="0" applyNumberFormat="1" applyFont="1" applyBorder="1"/>
    <xf numFmtId="164" fontId="27" fillId="6" borderId="0" xfId="0" applyNumberFormat="1" applyFont="1" applyFill="1"/>
    <xf numFmtId="0" fontId="11" fillId="0" borderId="1" xfId="0" applyFont="1" applyBorder="1"/>
    <xf numFmtId="168" fontId="11" fillId="0" borderId="1" xfId="0" applyNumberFormat="1" applyFont="1" applyBorder="1"/>
    <xf numFmtId="172" fontId="27" fillId="0" borderId="1" xfId="0" applyNumberFormat="1" applyFont="1" applyBorder="1"/>
    <xf numFmtId="0" fontId="9" fillId="6" borderId="1" xfId="0" applyFont="1" applyFill="1" applyBorder="1"/>
    <xf numFmtId="169" fontId="27" fillId="0" borderId="0" xfId="0" applyNumberFormat="1" applyFont="1"/>
    <xf numFmtId="168" fontId="27" fillId="0" borderId="1" xfId="0" applyNumberFormat="1" applyFont="1" applyBorder="1"/>
    <xf numFmtId="169" fontId="27" fillId="0" borderId="1" xfId="0" applyNumberFormat="1" applyFont="1" applyBorder="1"/>
    <xf numFmtId="168" fontId="27" fillId="0" borderId="0" xfId="0" applyNumberFormat="1" applyFont="1"/>
    <xf numFmtId="10" fontId="27" fillId="0" borderId="1" xfId="0" applyNumberFormat="1" applyFont="1" applyBorder="1"/>
    <xf numFmtId="0" fontId="9" fillId="5" borderId="0" xfId="0" applyFont="1" applyFill="1"/>
    <xf numFmtId="0" fontId="27" fillId="5" borderId="0" xfId="0" applyFont="1" applyFill="1"/>
    <xf numFmtId="0" fontId="27" fillId="6" borderId="1" xfId="0" applyFont="1" applyFill="1" applyBorder="1"/>
    <xf numFmtId="173" fontId="27" fillId="6" borderId="1" xfId="0" applyNumberFormat="1" applyFont="1" applyFill="1" applyBorder="1"/>
    <xf numFmtId="173" fontId="27" fillId="5" borderId="1" xfId="0" applyNumberFormat="1" applyFont="1" applyFill="1" applyBorder="1"/>
    <xf numFmtId="168" fontId="27" fillId="5" borderId="1" xfId="0" applyNumberFormat="1" applyFont="1" applyFill="1" applyBorder="1"/>
    <xf numFmtId="1" fontId="27" fillId="0" borderId="0" xfId="0" applyNumberFormat="1" applyFont="1"/>
    <xf numFmtId="1" fontId="27" fillId="3" borderId="1" xfId="0" applyNumberFormat="1" applyFont="1" applyFill="1" applyBorder="1"/>
    <xf numFmtId="0" fontId="27" fillId="5" borderId="1" xfId="0" applyFont="1" applyFill="1" applyBorder="1"/>
    <xf numFmtId="1" fontId="27" fillId="5" borderId="1" xfId="0" applyNumberFormat="1" applyFont="1" applyFill="1" applyBorder="1"/>
    <xf numFmtId="165" fontId="27" fillId="3" borderId="1" xfId="0" applyNumberFormat="1" applyFont="1" applyFill="1" applyBorder="1"/>
    <xf numFmtId="0" fontId="27" fillId="0" borderId="1" xfId="0" applyFont="1" applyBorder="1" applyAlignment="1">
      <alignment wrapText="1"/>
    </xf>
    <xf numFmtId="168" fontId="27" fillId="3" borderId="1" xfId="0" applyNumberFormat="1" applyFont="1" applyFill="1" applyBorder="1"/>
    <xf numFmtId="0" fontId="27" fillId="0" borderId="0" xfId="0" applyFont="1" applyAlignment="1">
      <alignment wrapText="1"/>
    </xf>
    <xf numFmtId="171" fontId="27" fillId="0" borderId="0" xfId="0" applyNumberFormat="1" applyFont="1"/>
    <xf numFmtId="171" fontId="27" fillId="5" borderId="1" xfId="0" applyNumberFormat="1" applyFont="1" applyFill="1" applyBorder="1"/>
    <xf numFmtId="168" fontId="9" fillId="0" borderId="0" xfId="0" applyNumberFormat="1" applyFont="1"/>
    <xf numFmtId="10" fontId="27" fillId="0" borderId="0" xfId="0" applyNumberFormat="1" applyFont="1"/>
    <xf numFmtId="0" fontId="11" fillId="0" borderId="0" xfId="0" applyFont="1"/>
    <xf numFmtId="164" fontId="9" fillId="0" borderId="0" xfId="0" applyNumberFormat="1" applyFont="1"/>
    <xf numFmtId="2" fontId="27" fillId="0" borderId="0" xfId="0" applyNumberFormat="1" applyFont="1"/>
    <xf numFmtId="169" fontId="9" fillId="0" borderId="0" xfId="0" applyNumberFormat="1" applyFont="1"/>
    <xf numFmtId="165" fontId="27" fillId="0" borderId="0" xfId="0" applyNumberFormat="1" applyFont="1"/>
    <xf numFmtId="167" fontId="27" fillId="0" borderId="0" xfId="0" applyNumberFormat="1" applyFont="1"/>
    <xf numFmtId="168" fontId="11" fillId="0" borderId="0" xfId="0" applyNumberFormat="1" applyFont="1"/>
    <xf numFmtId="164" fontId="11" fillId="0" borderId="0" xfId="0" applyNumberFormat="1" applyFont="1"/>
    <xf numFmtId="165" fontId="11" fillId="0" borderId="0" xfId="0" applyNumberFormat="1" applyFont="1"/>
    <xf numFmtId="1" fontId="14" fillId="7" borderId="1" xfId="0" applyNumberFormat="1" applyFont="1" applyFill="1" applyBorder="1" applyAlignment="1">
      <alignment horizontal="right" vertical="center"/>
    </xf>
    <xf numFmtId="3" fontId="14" fillId="7" borderId="1" xfId="0" applyNumberFormat="1" applyFont="1" applyFill="1" applyBorder="1" applyAlignment="1">
      <alignment horizontal="right" vertical="center"/>
    </xf>
    <xf numFmtId="169" fontId="26" fillId="7" borderId="1" xfId="0" applyNumberFormat="1" applyFont="1" applyFill="1" applyBorder="1" applyAlignment="1">
      <alignment horizontal="right" vertical="center"/>
    </xf>
    <xf numFmtId="9" fontId="26" fillId="0" borderId="0" xfId="0" applyNumberFormat="1" applyFont="1"/>
    <xf numFmtId="164" fontId="20" fillId="0" borderId="1" xfId="0" applyNumberFormat="1" applyFont="1" applyBorder="1"/>
    <xf numFmtId="168" fontId="9" fillId="0" borderId="1" xfId="0" applyNumberFormat="1" applyFont="1" applyBorder="1"/>
    <xf numFmtId="0" fontId="28" fillId="0" borderId="0" xfId="0" applyFont="1"/>
  </cellXfs>
  <cellStyles count="1">
    <cellStyle name="Normal" xfId="0" builtinId="0"/>
  </cellStyles>
  <dxfs count="0"/>
  <tableStyles count="0" defaultTableStyle="TableStyleMedium2" defaultPivotStyle="PivotStyleLight16"/>
  <colors>
    <indexedColors>
      <rgbColor rgb="FF000000"/>
      <rgbColor rgb="FFFFFFFF"/>
      <rgbColor rgb="FFC00000"/>
      <rgbColor rgb="FF00FF00"/>
      <rgbColor rgb="FF0000FF"/>
      <rgbColor rgb="FFFFFF00"/>
      <rgbColor rgb="FFFF00FF"/>
      <rgbColor rgb="FF00FFFF"/>
      <rgbColor rgb="FF800000"/>
      <rgbColor rgb="FF008000"/>
      <rgbColor rgb="FF000080"/>
      <rgbColor rgb="FF548235"/>
      <rgbColor rgb="FF800080"/>
      <rgbColor rgb="FF008080"/>
      <rgbColor rgb="FFCCCCCC"/>
      <rgbColor rgb="FF808080"/>
      <rgbColor rgb="FF9999FF"/>
      <rgbColor rgb="FF7030A0"/>
      <rgbColor rgb="FFFFFFCC"/>
      <rgbColor rgb="FFE3F2FD"/>
      <rgbColor rgb="FF660066"/>
      <rgbColor rgb="FFFF8080"/>
      <rgbColor rgb="FF2E75B6"/>
      <rgbColor rgb="FFD6E4F0"/>
      <rgbColor rgb="FF000080"/>
      <rgbColor rgb="FFFF00FF"/>
      <rgbColor rgb="FFFFFF00"/>
      <rgbColor rgb="FF00FFFF"/>
      <rgbColor rgb="FF800080"/>
      <rgbColor rgb="FF800000"/>
      <rgbColor rgb="FF008080"/>
      <rgbColor rgb="FF0000FF"/>
      <rgbColor rgb="FF00CCFF"/>
      <rgbColor rgb="FFE8F5E9"/>
      <rgbColor rgb="FFF0FFF0"/>
      <rgbColor rgb="FFFFF8E1"/>
      <rgbColor rgb="FF99CCFF"/>
      <rgbColor rgb="FFFF99CC"/>
      <rgbColor rgb="FFCC99FF"/>
      <rgbColor rgb="FFF0F0F0"/>
      <rgbColor rgb="FF4472C4"/>
      <rgbColor rgb="FF33CCCC"/>
      <rgbColor rgb="FF99CC00"/>
      <rgbColor rgb="FFFFCC00"/>
      <rgbColor rgb="FFFF9900"/>
      <rgbColor rgb="FFED7D31"/>
      <rgbColor rgb="FF666666"/>
      <rgbColor rgb="FF969696"/>
      <rgbColor rgb="FF003366"/>
      <rgbColor rgb="FF339966"/>
      <rgbColor rgb="FF006600"/>
      <rgbColor rgb="FF333300"/>
      <rgbColor rgb="FF993300"/>
      <rgbColor rgb="FF993366"/>
      <rgbColor rgb="FF1F4E7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0000"/>
  </sheetPr>
  <dimension ref="A1:D45"/>
  <sheetViews>
    <sheetView tabSelected="1" topLeftCell="A6" zoomScale="118" zoomScaleNormal="118" workbookViewId="0">
      <selection activeCell="C11" sqref="C11"/>
    </sheetView>
  </sheetViews>
  <sheetFormatPr baseColWidth="10" defaultColWidth="8.6640625" defaultRowHeight="15" x14ac:dyDescent="0.2"/>
  <cols>
    <col min="1" max="1" width="45" customWidth="1"/>
    <col min="2" max="3" width="22" customWidth="1"/>
    <col min="4" max="4" width="12" customWidth="1"/>
  </cols>
  <sheetData>
    <row r="1" spans="1:3" ht="24" customHeight="1" x14ac:dyDescent="0.25">
      <c r="A1" s="5" t="s">
        <v>0</v>
      </c>
    </row>
    <row r="2" spans="1:3" ht="17.25" customHeight="1" x14ac:dyDescent="0.2">
      <c r="A2" s="6" t="s">
        <v>1</v>
      </c>
    </row>
    <row r="3" spans="1:3" ht="15" customHeight="1" x14ac:dyDescent="0.2">
      <c r="A3" s="7" t="s">
        <v>2</v>
      </c>
    </row>
    <row r="5" spans="1:3" ht="15.75" customHeight="1" x14ac:dyDescent="0.2">
      <c r="A5" s="8" t="s">
        <v>3</v>
      </c>
    </row>
    <row r="6" spans="1:3" ht="15" customHeight="1" x14ac:dyDescent="0.2">
      <c r="A6" s="9" t="s">
        <v>4</v>
      </c>
    </row>
    <row r="7" spans="1:3" ht="55.5" customHeight="1" x14ac:dyDescent="0.2">
      <c r="A7" s="10" t="s">
        <v>5</v>
      </c>
    </row>
    <row r="8" spans="1:3" ht="15" customHeight="1" x14ac:dyDescent="0.2">
      <c r="A8" s="9" t="s">
        <v>6</v>
      </c>
    </row>
    <row r="9" spans="1:3" ht="55.5" customHeight="1" x14ac:dyDescent="0.2">
      <c r="A9" s="10" t="s">
        <v>7</v>
      </c>
    </row>
    <row r="10" spans="1:3" ht="15" customHeight="1" x14ac:dyDescent="0.2">
      <c r="A10" s="9" t="s">
        <v>8</v>
      </c>
    </row>
    <row r="11" spans="1:3" ht="84" customHeight="1" x14ac:dyDescent="0.2">
      <c r="A11" s="10" t="s">
        <v>9</v>
      </c>
    </row>
    <row r="12" spans="1:3" ht="15" customHeight="1" x14ac:dyDescent="0.2">
      <c r="A12" s="9" t="s">
        <v>10</v>
      </c>
    </row>
    <row r="13" spans="1:3" ht="42" customHeight="1" x14ac:dyDescent="0.2">
      <c r="A13" s="10" t="s">
        <v>11</v>
      </c>
    </row>
    <row r="15" spans="1:3" ht="15.75" customHeight="1" x14ac:dyDescent="0.2">
      <c r="A15" s="8" t="s">
        <v>12</v>
      </c>
    </row>
    <row r="16" spans="1:3" ht="15" customHeight="1" x14ac:dyDescent="0.2">
      <c r="A16" s="11" t="s">
        <v>13</v>
      </c>
      <c r="B16" s="11" t="s">
        <v>14</v>
      </c>
      <c r="C16" s="11" t="s">
        <v>15</v>
      </c>
    </row>
    <row r="17" spans="1:4" ht="15" customHeight="1" x14ac:dyDescent="0.2">
      <c r="A17" s="12" t="s">
        <v>16</v>
      </c>
      <c r="B17" s="13">
        <f>'Package Summary'!B14</f>
        <v>1.4424757826330386</v>
      </c>
      <c r="C17" s="13">
        <f>'Package Summary'!B15</f>
        <v>1.615331434038503</v>
      </c>
    </row>
    <row r="18" spans="1:4" ht="15" customHeight="1" x14ac:dyDescent="0.2">
      <c r="A18" s="12" t="s">
        <v>17</v>
      </c>
      <c r="B18" s="13">
        <f>'Package Summary'!B23</f>
        <v>2.3817580058721024</v>
      </c>
      <c r="C18" s="13">
        <f>'Package Summary'!B24</f>
        <v>4.5414214239703652</v>
      </c>
    </row>
    <row r="19" spans="1:4" ht="15" customHeight="1" x14ac:dyDescent="0.2">
      <c r="A19" s="12" t="s">
        <v>18</v>
      </c>
      <c r="B19" s="14">
        <f>'Package Summary'!B31</f>
        <v>4.2342364548837379</v>
      </c>
      <c r="C19" s="14">
        <f>'Package Summary'!B32</f>
        <v>8.073638087058427</v>
      </c>
    </row>
    <row r="20" spans="1:4" ht="15" customHeight="1" x14ac:dyDescent="0.2">
      <c r="A20" s="12" t="s">
        <v>19</v>
      </c>
      <c r="B20" s="15">
        <f>'Package Summary'!B35</f>
        <v>1.4744701648735024</v>
      </c>
      <c r="C20" s="15">
        <f>'Package Summary'!B36</f>
        <v>3.1483519367518484</v>
      </c>
    </row>
    <row r="21" spans="1:4" ht="15" customHeight="1" x14ac:dyDescent="0.2">
      <c r="A21" s="12" t="s">
        <v>20</v>
      </c>
      <c r="B21" s="16">
        <f>'Package Summary'!B38</f>
        <v>178664.90509962829</v>
      </c>
      <c r="C21" s="16">
        <f>'Package Summary'!B39</f>
        <v>381492.96838994225</v>
      </c>
    </row>
    <row r="22" spans="1:4" ht="15" customHeight="1" x14ac:dyDescent="0.2"/>
    <row r="23" spans="1:4" ht="15" customHeight="1" x14ac:dyDescent="0.2">
      <c r="A23" s="17" t="s">
        <v>21</v>
      </c>
    </row>
    <row r="24" spans="1:4" ht="15" customHeight="1" x14ac:dyDescent="0.2">
      <c r="A24" s="11" t="s">
        <v>13</v>
      </c>
      <c r="B24" s="11" t="s">
        <v>22</v>
      </c>
      <c r="C24" s="11" t="s">
        <v>23</v>
      </c>
      <c r="D24" s="11" t="s">
        <v>24</v>
      </c>
    </row>
    <row r="25" spans="1:4" ht="15" customHeight="1" x14ac:dyDescent="0.2">
      <c r="A25" s="12" t="s">
        <v>25</v>
      </c>
      <c r="B25" s="18" t="s">
        <v>26</v>
      </c>
      <c r="C25" s="19" t="s">
        <v>26</v>
      </c>
      <c r="D25" s="20" t="s">
        <v>27</v>
      </c>
    </row>
    <row r="26" spans="1:4" ht="15" customHeight="1" x14ac:dyDescent="0.2">
      <c r="A26" s="12" t="s">
        <v>28</v>
      </c>
      <c r="B26" s="18" t="s">
        <v>29</v>
      </c>
      <c r="C26" s="19" t="s">
        <v>29</v>
      </c>
      <c r="D26" s="20" t="s">
        <v>27</v>
      </c>
    </row>
    <row r="27" spans="1:4" ht="15" customHeight="1" x14ac:dyDescent="0.2">
      <c r="A27" s="12" t="s">
        <v>30</v>
      </c>
      <c r="B27" s="21" t="s">
        <v>31</v>
      </c>
      <c r="C27" s="19" t="s">
        <v>31</v>
      </c>
      <c r="D27" s="22" t="s">
        <v>27</v>
      </c>
    </row>
    <row r="28" spans="1:4" ht="15" customHeight="1" x14ac:dyDescent="0.2">
      <c r="A28" s="12" t="s">
        <v>32</v>
      </c>
      <c r="B28" s="18" t="s">
        <v>33</v>
      </c>
      <c r="C28" s="19" t="s">
        <v>33</v>
      </c>
      <c r="D28" s="20" t="s">
        <v>27</v>
      </c>
    </row>
    <row r="29" spans="1:4" ht="15" customHeight="1" x14ac:dyDescent="0.2">
      <c r="A29" s="12" t="s">
        <v>34</v>
      </c>
      <c r="B29" s="21" t="s">
        <v>35</v>
      </c>
      <c r="C29" s="19" t="s">
        <v>35</v>
      </c>
      <c r="D29" s="22" t="s">
        <v>27</v>
      </c>
    </row>
    <row r="30" spans="1:4" ht="15" customHeight="1" x14ac:dyDescent="0.2"/>
    <row r="31" spans="1:4" ht="15" customHeight="1" x14ac:dyDescent="0.2">
      <c r="A31" s="23" t="s">
        <v>36</v>
      </c>
    </row>
    <row r="32" spans="1:4" ht="27.75" customHeight="1" x14ac:dyDescent="0.2">
      <c r="A32" s="24" t="s">
        <v>37</v>
      </c>
    </row>
    <row r="33" spans="1:4" ht="45.75" customHeight="1" x14ac:dyDescent="0.2">
      <c r="A33" s="4"/>
      <c r="B33" s="4"/>
      <c r="C33" s="4"/>
      <c r="D33" s="4"/>
    </row>
    <row r="34" spans="1:4" ht="23.25" customHeight="1" x14ac:dyDescent="0.2">
      <c r="A34" s="4"/>
      <c r="B34" s="4"/>
      <c r="C34" s="4"/>
      <c r="D34" s="4"/>
    </row>
    <row r="35" spans="1:4" ht="15" customHeight="1" x14ac:dyDescent="0.2">
      <c r="A35" s="23" t="s">
        <v>38</v>
      </c>
    </row>
    <row r="36" spans="1:4" ht="15" customHeight="1" x14ac:dyDescent="0.2">
      <c r="A36" s="7" t="s">
        <v>39</v>
      </c>
    </row>
    <row r="37" spans="1:4" ht="15" customHeight="1" x14ac:dyDescent="0.2">
      <c r="A37" s="7" t="s">
        <v>40</v>
      </c>
    </row>
    <row r="38" spans="1:4" ht="15" customHeight="1" x14ac:dyDescent="0.2">
      <c r="A38" s="7" t="s">
        <v>41</v>
      </c>
    </row>
    <row r="39" spans="1:4" ht="15" customHeight="1" x14ac:dyDescent="0.2">
      <c r="A39" s="7" t="s">
        <v>42</v>
      </c>
    </row>
    <row r="40" spans="1:4" ht="15" customHeight="1" x14ac:dyDescent="0.2">
      <c r="A40" s="7" t="s">
        <v>43</v>
      </c>
    </row>
    <row r="41" spans="1:4" ht="15" customHeight="1" x14ac:dyDescent="0.2"/>
    <row r="42" spans="1:4" ht="15" customHeight="1" x14ac:dyDescent="0.2">
      <c r="A42" s="25" t="s">
        <v>44</v>
      </c>
    </row>
    <row r="43" spans="1:4" ht="15" customHeight="1" x14ac:dyDescent="0.2">
      <c r="A43" s="25" t="s">
        <v>45</v>
      </c>
    </row>
    <row r="44" spans="1:4" ht="15" customHeight="1" x14ac:dyDescent="0.2"/>
    <row r="45" spans="1:4" ht="15" customHeight="1" x14ac:dyDescent="0.2"/>
  </sheetData>
  <mergeCells count="2">
    <mergeCell ref="A33:D33"/>
    <mergeCell ref="A34:D34"/>
  </mergeCells>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4472C4"/>
  </sheetPr>
  <dimension ref="A1:D61"/>
  <sheetViews>
    <sheetView zoomScaleNormal="100" workbookViewId="0">
      <pane ySplit="4" topLeftCell="A6" activePane="bottomLeft" state="frozen"/>
      <selection pane="bottomLeft"/>
    </sheetView>
  </sheetViews>
  <sheetFormatPr baseColWidth="10" defaultColWidth="8.6640625" defaultRowHeight="15" x14ac:dyDescent="0.2"/>
  <cols>
    <col min="1" max="1" width="80" customWidth="1"/>
    <col min="2" max="2" width="16" customWidth="1"/>
    <col min="3" max="3" width="42" customWidth="1"/>
    <col min="4" max="4" width="8" customWidth="1"/>
  </cols>
  <sheetData>
    <row r="1" spans="1:4" ht="19.5" customHeight="1" x14ac:dyDescent="0.2">
      <c r="A1" s="26" t="s">
        <v>46</v>
      </c>
    </row>
    <row r="2" spans="1:4" ht="15" customHeight="1" x14ac:dyDescent="0.2">
      <c r="A2" s="7" t="s">
        <v>47</v>
      </c>
    </row>
    <row r="4" spans="1:4" ht="15" customHeight="1" x14ac:dyDescent="0.2">
      <c r="A4" s="11" t="s">
        <v>48</v>
      </c>
      <c r="B4" s="11" t="s">
        <v>49</v>
      </c>
      <c r="C4" s="11" t="s">
        <v>50</v>
      </c>
      <c r="D4" s="11" t="s">
        <v>51</v>
      </c>
    </row>
    <row r="5" spans="1:4" ht="15" customHeight="1" x14ac:dyDescent="0.2">
      <c r="A5" s="27" t="s">
        <v>52</v>
      </c>
      <c r="B5" s="28"/>
      <c r="C5" s="28"/>
      <c r="D5" s="28"/>
    </row>
    <row r="6" spans="1:4" ht="15" customHeight="1" x14ac:dyDescent="0.2">
      <c r="A6" s="12" t="s">
        <v>53</v>
      </c>
      <c r="B6" s="29">
        <v>2.9</v>
      </c>
      <c r="C6" s="30" t="s">
        <v>54</v>
      </c>
      <c r="D6" s="31" t="s">
        <v>55</v>
      </c>
    </row>
    <row r="7" spans="1:4" ht="15" customHeight="1" x14ac:dyDescent="0.2">
      <c r="A7" s="12" t="s">
        <v>56</v>
      </c>
      <c r="B7" s="29">
        <v>2.38</v>
      </c>
      <c r="C7" s="30" t="s">
        <v>57</v>
      </c>
      <c r="D7" s="31" t="s">
        <v>58</v>
      </c>
    </row>
    <row r="8" spans="1:4" ht="15" customHeight="1" x14ac:dyDescent="0.2">
      <c r="A8" s="12" t="s">
        <v>59</v>
      </c>
      <c r="B8" s="32">
        <v>0.57999999999999996</v>
      </c>
      <c r="C8" s="30" t="s">
        <v>60</v>
      </c>
      <c r="D8" s="31" t="s">
        <v>61</v>
      </c>
    </row>
    <row r="9" spans="1:4" ht="15" customHeight="1" x14ac:dyDescent="0.2">
      <c r="A9" s="12" t="s">
        <v>62</v>
      </c>
      <c r="B9" s="33">
        <v>12.9</v>
      </c>
      <c r="C9" s="30" t="s">
        <v>63</v>
      </c>
      <c r="D9" s="31" t="s">
        <v>64</v>
      </c>
    </row>
    <row r="10" spans="1:4" ht="15" customHeight="1" x14ac:dyDescent="0.2">
      <c r="A10" s="12" t="s">
        <v>65</v>
      </c>
      <c r="B10" s="29">
        <v>1.2</v>
      </c>
      <c r="C10" s="30" t="s">
        <v>66</v>
      </c>
      <c r="D10" s="31" t="s">
        <v>67</v>
      </c>
    </row>
    <row r="11" spans="1:4" ht="15" customHeight="1" x14ac:dyDescent="0.2">
      <c r="A11" s="12" t="s">
        <v>68</v>
      </c>
      <c r="B11" s="34">
        <v>225</v>
      </c>
      <c r="C11" s="30" t="s">
        <v>69</v>
      </c>
      <c r="D11" s="31" t="s">
        <v>70</v>
      </c>
    </row>
    <row r="13" spans="1:4" ht="15" customHeight="1" x14ac:dyDescent="0.2">
      <c r="A13" s="27" t="s">
        <v>71</v>
      </c>
      <c r="B13" s="28"/>
      <c r="C13" s="28"/>
      <c r="D13" s="28"/>
    </row>
    <row r="14" spans="1:4" ht="15" customHeight="1" x14ac:dyDescent="0.2">
      <c r="A14" s="12" t="s">
        <v>72</v>
      </c>
      <c r="B14" s="35">
        <v>2.74</v>
      </c>
      <c r="C14" s="30" t="s">
        <v>73</v>
      </c>
      <c r="D14" s="31" t="s">
        <v>74</v>
      </c>
    </row>
    <row r="15" spans="1:4" ht="15" customHeight="1" x14ac:dyDescent="0.2">
      <c r="A15" s="12" t="s">
        <v>75</v>
      </c>
      <c r="B15" s="33">
        <v>3.6</v>
      </c>
      <c r="C15" s="30" t="s">
        <v>76</v>
      </c>
      <c r="D15" s="31" t="s">
        <v>77</v>
      </c>
    </row>
    <row r="16" spans="1:4" ht="15" customHeight="1" x14ac:dyDescent="0.2">
      <c r="A16" s="12" t="s">
        <v>78</v>
      </c>
      <c r="B16" s="33">
        <v>3</v>
      </c>
      <c r="C16" s="30" t="s">
        <v>79</v>
      </c>
      <c r="D16" s="31" t="s">
        <v>80</v>
      </c>
    </row>
    <row r="17" spans="1:4" ht="15" customHeight="1" x14ac:dyDescent="0.2">
      <c r="A17" s="12" t="s">
        <v>81</v>
      </c>
      <c r="B17" s="33">
        <v>4</v>
      </c>
      <c r="C17" s="30" t="s">
        <v>82</v>
      </c>
      <c r="D17" s="31" t="s">
        <v>83</v>
      </c>
    </row>
    <row r="19" spans="1:4" ht="15" customHeight="1" x14ac:dyDescent="0.2">
      <c r="A19" s="27" t="s">
        <v>84</v>
      </c>
      <c r="B19" s="28"/>
      <c r="C19" s="28"/>
      <c r="D19" s="28"/>
    </row>
    <row r="20" spans="1:4" ht="15" customHeight="1" x14ac:dyDescent="0.2">
      <c r="A20" s="12" t="s">
        <v>85</v>
      </c>
      <c r="B20" s="36">
        <v>0.76</v>
      </c>
      <c r="C20" s="30" t="s">
        <v>86</v>
      </c>
      <c r="D20" s="31" t="s">
        <v>87</v>
      </c>
    </row>
    <row r="21" spans="1:4" ht="15" customHeight="1" x14ac:dyDescent="0.2">
      <c r="A21" s="12" t="s">
        <v>88</v>
      </c>
      <c r="B21" s="35">
        <v>0.85</v>
      </c>
      <c r="C21" s="30" t="s">
        <v>89</v>
      </c>
      <c r="D21" s="31" t="s">
        <v>90</v>
      </c>
    </row>
    <row r="22" spans="1:4" ht="15" customHeight="1" x14ac:dyDescent="0.2">
      <c r="A22" s="12" t="s">
        <v>91</v>
      </c>
      <c r="B22" s="36">
        <v>1</v>
      </c>
      <c r="C22" s="30" t="s">
        <v>92</v>
      </c>
      <c r="D22" s="31" t="s">
        <v>90</v>
      </c>
    </row>
    <row r="23" spans="1:4" ht="15" customHeight="1" x14ac:dyDescent="0.2">
      <c r="A23" s="12" t="s">
        <v>93</v>
      </c>
      <c r="B23" s="36">
        <v>1</v>
      </c>
      <c r="C23" s="30" t="s">
        <v>92</v>
      </c>
      <c r="D23" s="31" t="s">
        <v>90</v>
      </c>
    </row>
    <row r="24" spans="1:4" ht="15" customHeight="1" x14ac:dyDescent="0.2">
      <c r="A24" s="12" t="s">
        <v>94</v>
      </c>
      <c r="B24" s="36">
        <v>0.8</v>
      </c>
      <c r="C24" s="30" t="s">
        <v>95</v>
      </c>
      <c r="D24" s="31" t="s">
        <v>61</v>
      </c>
    </row>
    <row r="25" spans="1:4" ht="15" customHeight="1" x14ac:dyDescent="0.2">
      <c r="A25" s="12" t="s">
        <v>96</v>
      </c>
      <c r="B25" s="36">
        <v>0.8</v>
      </c>
      <c r="C25" s="30" t="s">
        <v>97</v>
      </c>
      <c r="D25" s="31" t="s">
        <v>98</v>
      </c>
    </row>
    <row r="26" spans="1:4" ht="15" customHeight="1" x14ac:dyDescent="0.2">
      <c r="A26" s="12" t="s">
        <v>99</v>
      </c>
      <c r="B26" s="36">
        <v>0.86</v>
      </c>
      <c r="C26" s="30" t="s">
        <v>100</v>
      </c>
      <c r="D26" s="31" t="s">
        <v>98</v>
      </c>
    </row>
    <row r="27" spans="1:4" ht="15" customHeight="1" x14ac:dyDescent="0.2">
      <c r="A27" s="12" t="s">
        <v>101</v>
      </c>
      <c r="B27" s="37">
        <v>0.03</v>
      </c>
      <c r="C27" s="30" t="s">
        <v>102</v>
      </c>
      <c r="D27" s="31" t="s">
        <v>103</v>
      </c>
    </row>
    <row r="28" spans="1:4" ht="15" customHeight="1" x14ac:dyDescent="0.2">
      <c r="A28" s="12" t="s">
        <v>104</v>
      </c>
      <c r="B28" s="36">
        <v>0.55000000000000004</v>
      </c>
      <c r="C28" s="30" t="s">
        <v>105</v>
      </c>
      <c r="D28" s="31" t="s">
        <v>106</v>
      </c>
    </row>
    <row r="29" spans="1:4" ht="15" customHeight="1" x14ac:dyDescent="0.2">
      <c r="A29" s="12" t="s">
        <v>107</v>
      </c>
      <c r="B29" s="36">
        <v>0.6</v>
      </c>
      <c r="C29" s="30" t="s">
        <v>108</v>
      </c>
      <c r="D29" s="31" t="s">
        <v>106</v>
      </c>
    </row>
    <row r="30" spans="1:4" ht="15" customHeight="1" x14ac:dyDescent="0.2">
      <c r="A30" t="s">
        <v>109</v>
      </c>
      <c r="B30" s="38">
        <v>0.05</v>
      </c>
      <c r="C30" t="s">
        <v>110</v>
      </c>
      <c r="D30" t="s">
        <v>103</v>
      </c>
    </row>
    <row r="31" spans="1:4" ht="15" customHeight="1" x14ac:dyDescent="0.2">
      <c r="A31" s="27" t="s">
        <v>111</v>
      </c>
      <c r="B31" s="28"/>
      <c r="C31" s="28"/>
      <c r="D31" s="28"/>
    </row>
    <row r="32" spans="1:4" ht="15" customHeight="1" x14ac:dyDescent="0.2">
      <c r="A32" s="12" t="s">
        <v>112</v>
      </c>
      <c r="B32" s="34">
        <v>200</v>
      </c>
      <c r="C32" s="30" t="s">
        <v>113</v>
      </c>
      <c r="D32" s="31" t="s">
        <v>114</v>
      </c>
    </row>
    <row r="33" spans="1:4" ht="15" customHeight="1" x14ac:dyDescent="0.2">
      <c r="A33" s="12" t="s">
        <v>115</v>
      </c>
      <c r="B33" s="37">
        <v>4.4999999999999998E-2</v>
      </c>
      <c r="C33" s="30" t="s">
        <v>116</v>
      </c>
      <c r="D33" s="31" t="s">
        <v>117</v>
      </c>
    </row>
    <row r="34" spans="1:4" ht="15" customHeight="1" x14ac:dyDescent="0.2">
      <c r="A34" s="12" t="s">
        <v>118</v>
      </c>
      <c r="B34" s="36">
        <v>0.2</v>
      </c>
      <c r="C34" s="39" t="s">
        <v>119</v>
      </c>
      <c r="D34" s="40" t="s">
        <v>120</v>
      </c>
    </row>
    <row r="35" spans="1:4" ht="15" customHeight="1" x14ac:dyDescent="0.2">
      <c r="A35" s="12" t="s">
        <v>121</v>
      </c>
      <c r="B35" s="36">
        <v>0.7</v>
      </c>
      <c r="C35" s="39" t="s">
        <v>122</v>
      </c>
      <c r="D35" s="40" t="s">
        <v>120</v>
      </c>
    </row>
    <row r="36" spans="1:4" ht="15" customHeight="1" x14ac:dyDescent="0.2">
      <c r="A36" s="12" t="s">
        <v>123</v>
      </c>
      <c r="B36" s="36">
        <v>1</v>
      </c>
      <c r="C36" s="39" t="s">
        <v>124</v>
      </c>
      <c r="D36" s="40" t="s">
        <v>120</v>
      </c>
    </row>
    <row r="37" spans="1:4" ht="15" customHeight="1" x14ac:dyDescent="0.2">
      <c r="A37" s="41" t="s">
        <v>125</v>
      </c>
      <c r="B37" s="42">
        <f>(B34+0.35+0.5+0.6+B35+0.8+0.9+B36+B36+B36)/10</f>
        <v>0.70499999999999996</v>
      </c>
      <c r="C37" s="43" t="s">
        <v>126</v>
      </c>
      <c r="D37" s="44" t="s">
        <v>120</v>
      </c>
    </row>
    <row r="38" spans="1:4" ht="15" customHeight="1" x14ac:dyDescent="0.2">
      <c r="A38" s="41" t="s">
        <v>127</v>
      </c>
      <c r="B38" s="45">
        <v>470</v>
      </c>
      <c r="C38" s="43" t="s">
        <v>128</v>
      </c>
      <c r="D38" s="44" t="s">
        <v>129</v>
      </c>
    </row>
    <row r="39" spans="1:4" ht="15" customHeight="1" x14ac:dyDescent="0.2"/>
    <row r="40" spans="1:4" ht="45.75" customHeight="1" x14ac:dyDescent="0.2">
      <c r="A40" s="4"/>
      <c r="B40" s="4"/>
      <c r="C40" s="4"/>
      <c r="D40" s="4"/>
    </row>
    <row r="41" spans="1:4" ht="15" customHeight="1" x14ac:dyDescent="0.2">
      <c r="A41" s="23" t="s">
        <v>130</v>
      </c>
    </row>
    <row r="42" spans="1:4" ht="15" customHeight="1" x14ac:dyDescent="0.2">
      <c r="A42" s="46" t="s">
        <v>131</v>
      </c>
    </row>
    <row r="43" spans="1:4" ht="45.75" customHeight="1" x14ac:dyDescent="0.2">
      <c r="A43" s="4"/>
      <c r="B43" s="4"/>
      <c r="C43" s="4"/>
      <c r="D43" s="4"/>
    </row>
    <row r="44" spans="1:4" ht="15" customHeight="1" x14ac:dyDescent="0.2">
      <c r="A44" s="47" t="s">
        <v>132</v>
      </c>
    </row>
    <row r="45" spans="1:4" ht="34.5" customHeight="1" x14ac:dyDescent="0.2">
      <c r="A45" s="3" t="s">
        <v>133</v>
      </c>
      <c r="B45" s="3"/>
      <c r="C45" s="3"/>
      <c r="D45" s="3"/>
    </row>
    <row r="47" spans="1:4" ht="34.5" customHeight="1" x14ac:dyDescent="0.2">
      <c r="A47" s="3" t="s">
        <v>134</v>
      </c>
      <c r="B47" s="3"/>
      <c r="C47" s="3"/>
      <c r="D47" s="3"/>
    </row>
    <row r="49" spans="1:4" ht="34.5" customHeight="1" x14ac:dyDescent="0.2">
      <c r="A49" s="3" t="s">
        <v>135</v>
      </c>
      <c r="B49" s="3"/>
      <c r="C49" s="3"/>
      <c r="D49" s="3"/>
    </row>
    <row r="51" spans="1:4" ht="57" customHeight="1" x14ac:dyDescent="0.2">
      <c r="A51" s="3" t="s">
        <v>136</v>
      </c>
      <c r="B51" s="3"/>
      <c r="C51" s="3"/>
      <c r="D51" s="3"/>
    </row>
    <row r="53" spans="1:4" ht="15" customHeight="1" x14ac:dyDescent="0.2">
      <c r="A53" s="46" t="s">
        <v>137</v>
      </c>
    </row>
    <row r="54" spans="1:4" ht="15" customHeight="1" x14ac:dyDescent="0.2">
      <c r="A54" s="4"/>
      <c r="B54" s="4"/>
      <c r="C54" s="4"/>
      <c r="D54" s="4"/>
    </row>
    <row r="55" spans="1:4" ht="15" customHeight="1" x14ac:dyDescent="0.2">
      <c r="A55" s="2" t="s">
        <v>138</v>
      </c>
      <c r="B55" s="2"/>
      <c r="C55" s="2"/>
      <c r="D55" s="2"/>
    </row>
    <row r="56" spans="1:4" ht="15" customHeight="1" x14ac:dyDescent="0.2">
      <c r="A56" s="1" t="s">
        <v>139</v>
      </c>
      <c r="B56" s="1"/>
      <c r="C56" s="1"/>
      <c r="D56" s="1"/>
    </row>
    <row r="57" spans="1:4" ht="15" customHeight="1" x14ac:dyDescent="0.2">
      <c r="A57" s="1" t="s">
        <v>140</v>
      </c>
      <c r="B57" s="1"/>
      <c r="C57" s="1"/>
      <c r="D57" s="1"/>
    </row>
    <row r="58" spans="1:4" ht="15" customHeight="1" x14ac:dyDescent="0.2">
      <c r="A58" s="1" t="s">
        <v>141</v>
      </c>
      <c r="B58" s="1"/>
      <c r="C58" s="1"/>
      <c r="D58" s="1"/>
    </row>
    <row r="59" spans="1:4" ht="15" customHeight="1" x14ac:dyDescent="0.2">
      <c r="A59" s="1" t="s">
        <v>142</v>
      </c>
      <c r="B59" s="1"/>
      <c r="C59" s="1"/>
      <c r="D59" s="1"/>
    </row>
    <row r="60" spans="1:4" ht="15" customHeight="1" x14ac:dyDescent="0.2">
      <c r="A60" s="48" t="s">
        <v>143</v>
      </c>
    </row>
    <row r="61" spans="1:4" ht="15" customHeight="1" x14ac:dyDescent="0.2">
      <c r="A61" s="48" t="s">
        <v>144</v>
      </c>
    </row>
  </sheetData>
  <mergeCells count="12">
    <mergeCell ref="A58:D58"/>
    <mergeCell ref="A59:D59"/>
    <mergeCell ref="A51:D51"/>
    <mergeCell ref="A54:D54"/>
    <mergeCell ref="A55:D55"/>
    <mergeCell ref="A56:D56"/>
    <mergeCell ref="A57:D57"/>
    <mergeCell ref="A40:D40"/>
    <mergeCell ref="A43:D43"/>
    <mergeCell ref="A45:D45"/>
    <mergeCell ref="A47:D47"/>
    <mergeCell ref="A49:D49"/>
  </mergeCells>
  <pageMargins left="0.75" right="0.75" top="1" bottom="1" header="0.511811023622047" footer="0.511811023622047"/>
  <pageSetup paperSize="9" orientation="portrait" horizontalDpi="300" verticalDpi="300"/>
  <legacy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ED7D31"/>
  </sheetPr>
  <dimension ref="A1:F45"/>
  <sheetViews>
    <sheetView zoomScaleNormal="100" workbookViewId="0">
      <pane ySplit="3" topLeftCell="A4" activePane="bottomLeft" state="frozen"/>
      <selection pane="bottomLeft"/>
    </sheetView>
  </sheetViews>
  <sheetFormatPr baseColWidth="10" defaultColWidth="8.6640625" defaultRowHeight="15" x14ac:dyDescent="0.2"/>
  <cols>
    <col min="1" max="1" width="38" customWidth="1"/>
    <col min="2" max="5" width="16" customWidth="1"/>
    <col min="6" max="6" width="18" customWidth="1"/>
  </cols>
  <sheetData>
    <row r="1" spans="1:6" ht="19.5" customHeight="1" x14ac:dyDescent="0.2">
      <c r="A1" s="26" t="s">
        <v>145</v>
      </c>
    </row>
    <row r="2" spans="1:6" ht="15" customHeight="1" x14ac:dyDescent="0.2">
      <c r="A2" s="7" t="s">
        <v>146</v>
      </c>
    </row>
    <row r="4" spans="1:6" ht="15.75" customHeight="1" x14ac:dyDescent="0.2">
      <c r="A4" s="8" t="s">
        <v>147</v>
      </c>
    </row>
    <row r="5" spans="1:6" ht="15" customHeight="1" x14ac:dyDescent="0.2">
      <c r="A5" s="11"/>
      <c r="B5" s="11" t="s">
        <v>148</v>
      </c>
      <c r="C5" s="11" t="s">
        <v>149</v>
      </c>
      <c r="D5" s="11" t="s">
        <v>150</v>
      </c>
      <c r="E5" s="11" t="s">
        <v>151</v>
      </c>
      <c r="F5" s="11" t="s">
        <v>152</v>
      </c>
    </row>
    <row r="6" spans="1:6" ht="15" customHeight="1" x14ac:dyDescent="0.2">
      <c r="A6" s="12" t="s">
        <v>153</v>
      </c>
      <c r="B6" s="49">
        <f>MINA!B33</f>
        <v>978.21442659090121</v>
      </c>
      <c r="C6" s="49">
        <f>'DO IT NOW'!B33</f>
        <v>415.96456804085324</v>
      </c>
      <c r="D6" s="49">
        <f>'Mannie Mac'!B98</f>
        <v>12.671788001283995</v>
      </c>
      <c r="E6" s="49">
        <f>MERA!B30</f>
        <v>35.625</v>
      </c>
      <c r="F6" s="50">
        <f>SUM(B6:E6)</f>
        <v>1442.4757826330385</v>
      </c>
    </row>
    <row r="7" spans="1:6" ht="15" customHeight="1" x14ac:dyDescent="0.2">
      <c r="A7" s="12" t="s">
        <v>154</v>
      </c>
      <c r="B7" s="49">
        <f>MINA!B34</f>
        <v>1073.2733309633368</v>
      </c>
      <c r="C7" s="49">
        <f>'DO IT NOW'!B34</f>
        <v>456.3863150738822</v>
      </c>
      <c r="D7" s="49">
        <f>'Mannie Mac'!B98</f>
        <v>12.671788001283995</v>
      </c>
      <c r="E7" s="49">
        <f>MERA!B31</f>
        <v>73</v>
      </c>
      <c r="F7" s="50">
        <f>SUM(B7:E7)</f>
        <v>1615.3314340385029</v>
      </c>
    </row>
    <row r="8" spans="1:6" ht="15" customHeight="1" x14ac:dyDescent="0.2">
      <c r="A8" s="9"/>
    </row>
    <row r="9" spans="1:6" ht="15" customHeight="1" x14ac:dyDescent="0.2">
      <c r="A9" s="9" t="s">
        <v>155</v>
      </c>
      <c r="D9" s="25" t="s">
        <v>156</v>
      </c>
    </row>
    <row r="10" spans="1:6" ht="15" customHeight="1" x14ac:dyDescent="0.2">
      <c r="A10" s="9" t="s">
        <v>157</v>
      </c>
      <c r="B10" s="51">
        <f>MINA!B33</f>
        <v>978.21442659090121</v>
      </c>
      <c r="C10" s="51">
        <f>'DO IT NOW'!B33</f>
        <v>415.96456804085324</v>
      </c>
      <c r="D10" s="51">
        <f>'Mannie Mac'!B97</f>
        <v>25</v>
      </c>
      <c r="E10" s="51">
        <f>MERA!B30</f>
        <v>35.625</v>
      </c>
      <c r="F10" s="51">
        <f>SUM(B10:E10)</f>
        <v>1454.8039946317544</v>
      </c>
    </row>
    <row r="11" spans="1:6" ht="15" customHeight="1" x14ac:dyDescent="0.2">
      <c r="A11" s="9" t="s">
        <v>158</v>
      </c>
      <c r="B11" s="51">
        <f>MINA!B34</f>
        <v>1073.2733309633368</v>
      </c>
      <c r="C11" s="51">
        <f>'DO IT NOW'!B34</f>
        <v>456.3863150738822</v>
      </c>
      <c r="D11" s="51">
        <f>'Mannie Mac'!B97</f>
        <v>25</v>
      </c>
      <c r="E11" s="51">
        <f>MERA!B31</f>
        <v>73</v>
      </c>
      <c r="F11" s="51">
        <f>SUM(B11:E11)</f>
        <v>1627.6596460372189</v>
      </c>
    </row>
    <row r="12" spans="1:6" ht="15" customHeight="1" x14ac:dyDescent="0.2"/>
    <row r="13" spans="1:6" ht="15" customHeight="1" x14ac:dyDescent="0.2">
      <c r="A13" s="27" t="s">
        <v>159</v>
      </c>
      <c r="B13" s="28"/>
      <c r="C13" s="28"/>
      <c r="D13" s="28"/>
      <c r="E13" s="28"/>
      <c r="F13" s="28"/>
    </row>
    <row r="14" spans="1:6" ht="15" customHeight="1" x14ac:dyDescent="0.2">
      <c r="A14" s="12" t="s">
        <v>160</v>
      </c>
      <c r="B14" s="52">
        <f>F6/1000</f>
        <v>1.4424757826330386</v>
      </c>
    </row>
    <row r="15" spans="1:6" ht="15" customHeight="1" x14ac:dyDescent="0.2">
      <c r="A15" s="12" t="s">
        <v>161</v>
      </c>
      <c r="B15" s="52">
        <f>F7/1000</f>
        <v>1.615331434038503</v>
      </c>
    </row>
    <row r="16" spans="1:6" ht="15" customHeight="1" x14ac:dyDescent="0.2"/>
    <row r="17" spans="1:3" ht="15" customHeight="1" x14ac:dyDescent="0.2"/>
    <row r="18" spans="1:3" ht="15.75" customHeight="1" x14ac:dyDescent="0.2">
      <c r="A18" s="8" t="s">
        <v>162</v>
      </c>
    </row>
    <row r="19" spans="1:3" ht="15" customHeight="1" x14ac:dyDescent="0.2">
      <c r="A19" s="12" t="s">
        <v>163</v>
      </c>
      <c r="B19" s="53">
        <f>(F10+F11)/2/10</f>
        <v>154.12318203344867</v>
      </c>
    </row>
    <row r="20" spans="1:3" ht="15" customHeight="1" x14ac:dyDescent="0.2">
      <c r="A20" s="12" t="s">
        <v>164</v>
      </c>
      <c r="B20" s="54">
        <f>'Base Inputs'!B14</f>
        <v>2.74</v>
      </c>
    </row>
    <row r="21" spans="1:3" ht="15" customHeight="1" x14ac:dyDescent="0.2">
      <c r="A21" s="12" t="s">
        <v>165</v>
      </c>
      <c r="B21" s="55">
        <f>'Base Inputs'!B37</f>
        <v>0.70499999999999996</v>
      </c>
    </row>
    <row r="22" spans="1:3" ht="15" customHeight="1" x14ac:dyDescent="0.2">
      <c r="A22" s="12" t="s">
        <v>166</v>
      </c>
      <c r="B22" s="53">
        <f>B19*B20</f>
        <v>422.29751877164938</v>
      </c>
    </row>
    <row r="23" spans="1:3" ht="15" customHeight="1" x14ac:dyDescent="0.2">
      <c r="A23" s="12" t="s">
        <v>167</v>
      </c>
      <c r="B23" s="52">
        <f>B19*B20*B21*10/1000*'Base Inputs'!B25</f>
        <v>2.3817580058721024</v>
      </c>
    </row>
    <row r="24" spans="1:3" ht="15" customHeight="1" x14ac:dyDescent="0.2">
      <c r="A24" s="12" t="s">
        <v>168</v>
      </c>
      <c r="B24" s="52">
        <f>B19*'Base Inputs'!B15*B21*10/1000*1.35*'Base Inputs'!B26</f>
        <v>4.5414214239703652</v>
      </c>
    </row>
    <row r="25" spans="1:3" ht="15" customHeight="1" x14ac:dyDescent="0.2"/>
    <row r="26" spans="1:3" ht="15" customHeight="1" x14ac:dyDescent="0.2">
      <c r="A26" s="27" t="s">
        <v>169</v>
      </c>
      <c r="B26" s="28"/>
      <c r="C26" s="28"/>
    </row>
    <row r="27" spans="1:3" ht="15" customHeight="1" x14ac:dyDescent="0.2">
      <c r="A27" s="12" t="s">
        <v>81</v>
      </c>
      <c r="B27" s="56">
        <f>'Base Inputs'!B17</f>
        <v>4</v>
      </c>
    </row>
    <row r="28" spans="1:3" ht="15" customHeight="1" x14ac:dyDescent="0.2">
      <c r="A28" s="12" t="s">
        <v>170</v>
      </c>
      <c r="B28" s="57">
        <f>'Base Inputs'!B11</f>
        <v>225</v>
      </c>
    </row>
    <row r="29" spans="1:3" ht="15" customHeight="1" x14ac:dyDescent="0.2">
      <c r="A29" s="12" t="s">
        <v>171</v>
      </c>
      <c r="B29" s="54">
        <f>B23/10*1000/B28</f>
        <v>1.0585591137209345</v>
      </c>
    </row>
    <row r="30" spans="1:3" ht="15" customHeight="1" x14ac:dyDescent="0.2">
      <c r="A30" s="12" t="s">
        <v>172</v>
      </c>
      <c r="B30" s="54">
        <f>B24/10*1000/B28</f>
        <v>2.0184095217646068</v>
      </c>
    </row>
    <row r="31" spans="1:3" ht="15" customHeight="1" x14ac:dyDescent="0.2">
      <c r="A31" s="12" t="s">
        <v>173</v>
      </c>
      <c r="B31" s="58">
        <f>B29*B27</f>
        <v>4.2342364548837379</v>
      </c>
    </row>
    <row r="32" spans="1:3" ht="15" customHeight="1" x14ac:dyDescent="0.2">
      <c r="A32" s="12" t="s">
        <v>174</v>
      </c>
      <c r="B32" s="58">
        <f>B30*B27</f>
        <v>8.073638087058427</v>
      </c>
    </row>
    <row r="33" spans="1:2" ht="15" customHeight="1" x14ac:dyDescent="0.2"/>
    <row r="34" spans="1:2" ht="15.75" customHeight="1" x14ac:dyDescent="0.2">
      <c r="A34" s="8" t="s">
        <v>175</v>
      </c>
    </row>
    <row r="35" spans="1:2" ht="15" customHeight="1" x14ac:dyDescent="0.2">
      <c r="A35" s="12" t="s">
        <v>176</v>
      </c>
      <c r="B35" s="59">
        <f>B23/(F7/1000)</f>
        <v>1.4744701648735024</v>
      </c>
    </row>
    <row r="36" spans="1:2" ht="15" customHeight="1" x14ac:dyDescent="0.2">
      <c r="A36" s="12" t="s">
        <v>177</v>
      </c>
      <c r="B36" s="59">
        <f>B24/(F6/1000)</f>
        <v>3.1483519367518484</v>
      </c>
    </row>
    <row r="37" spans="1:2" ht="15" customHeight="1" x14ac:dyDescent="0.2">
      <c r="A37" s="12" t="s">
        <v>178</v>
      </c>
      <c r="B37" s="59">
        <f>(B23+B24)/2/((F6+F7)/2/1000)</f>
        <v>2.2640993820985313</v>
      </c>
    </row>
    <row r="38" spans="1:2" ht="15" customHeight="1" x14ac:dyDescent="0.2">
      <c r="A38" s="12" t="s">
        <v>179</v>
      </c>
      <c r="B38" s="60">
        <f>F6/B32*1000</f>
        <v>178664.90509962829</v>
      </c>
    </row>
    <row r="39" spans="1:2" ht="15" customHeight="1" x14ac:dyDescent="0.2">
      <c r="A39" s="12" t="s">
        <v>180</v>
      </c>
      <c r="B39" s="60">
        <f>F7/B31*1000</f>
        <v>381492.96838994225</v>
      </c>
    </row>
    <row r="40" spans="1:2" ht="15" customHeight="1" x14ac:dyDescent="0.2">
      <c r="A40" s="12" t="s">
        <v>127</v>
      </c>
      <c r="B40" s="61">
        <f>'Base Inputs'!B38</f>
        <v>470</v>
      </c>
    </row>
    <row r="41" spans="1:2" ht="15" customHeight="1" x14ac:dyDescent="0.2">
      <c r="A41" s="9" t="s">
        <v>181</v>
      </c>
      <c r="B41" s="52">
        <f>(B23+B24)/2+B40*10/1000</f>
        <v>8.1615897149212344</v>
      </c>
    </row>
    <row r="42" spans="1:2" ht="15" customHeight="1" x14ac:dyDescent="0.2"/>
    <row r="43" spans="1:2" ht="15" customHeight="1" x14ac:dyDescent="0.2"/>
    <row r="44" spans="1:2" ht="15" customHeight="1" x14ac:dyDescent="0.2"/>
    <row r="45" spans="1:2" ht="15" customHeight="1" x14ac:dyDescent="0.2"/>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2E75B6"/>
  </sheetPr>
  <dimension ref="A1:O59"/>
  <sheetViews>
    <sheetView zoomScaleNormal="100" workbookViewId="0">
      <pane ySplit="5" topLeftCell="A16" activePane="bottomLeft" state="frozen"/>
      <selection pane="bottomLeft" activeCell="B14" sqref="B14"/>
    </sheetView>
  </sheetViews>
  <sheetFormatPr baseColWidth="10" defaultColWidth="8.6640625" defaultRowHeight="15" x14ac:dyDescent="0.2"/>
  <cols>
    <col min="1" max="1" width="40" customWidth="1"/>
    <col min="2" max="3" width="16" customWidth="1"/>
    <col min="4" max="15" width="14" customWidth="1"/>
  </cols>
  <sheetData>
    <row r="1" spans="1:4" ht="19.5" customHeight="1" x14ac:dyDescent="0.2">
      <c r="A1" s="26" t="s">
        <v>182</v>
      </c>
    </row>
    <row r="2" spans="1:4" ht="15" customHeight="1" x14ac:dyDescent="0.2">
      <c r="A2" s="7" t="s">
        <v>183</v>
      </c>
    </row>
    <row r="4" spans="1:4" ht="15.75" customHeight="1" x14ac:dyDescent="0.2">
      <c r="A4" s="8" t="s">
        <v>184</v>
      </c>
    </row>
    <row r="5" spans="1:4" ht="15" customHeight="1" x14ac:dyDescent="0.2">
      <c r="A5" s="11" t="s">
        <v>48</v>
      </c>
      <c r="B5" s="11" t="s">
        <v>185</v>
      </c>
      <c r="C5" s="11" t="s">
        <v>186</v>
      </c>
      <c r="D5" s="11" t="s">
        <v>187</v>
      </c>
    </row>
    <row r="6" spans="1:4" ht="15" customHeight="1" x14ac:dyDescent="0.2">
      <c r="A6" s="12" t="s">
        <v>188</v>
      </c>
      <c r="B6" s="37">
        <v>0.05</v>
      </c>
      <c r="C6" s="62">
        <v>0.05</v>
      </c>
      <c r="D6" s="30" t="s">
        <v>189</v>
      </c>
    </row>
    <row r="7" spans="1:4" ht="15" customHeight="1" x14ac:dyDescent="0.2">
      <c r="A7" s="12" t="s">
        <v>190</v>
      </c>
      <c r="B7" s="37">
        <v>0.06</v>
      </c>
      <c r="C7" s="62">
        <v>0.06</v>
      </c>
      <c r="D7" s="30" t="s">
        <v>191</v>
      </c>
    </row>
    <row r="8" spans="1:4" ht="15" customHeight="1" x14ac:dyDescent="0.2"/>
    <row r="9" spans="1:4" ht="15" customHeight="1" x14ac:dyDescent="0.2">
      <c r="A9" s="27" t="s">
        <v>192</v>
      </c>
      <c r="B9" s="28"/>
      <c r="C9" s="28"/>
      <c r="D9" s="28"/>
    </row>
    <row r="10" spans="1:4" ht="15" customHeight="1" x14ac:dyDescent="0.2">
      <c r="A10" s="12" t="s">
        <v>193</v>
      </c>
      <c r="B10" s="63">
        <f>'Base Inputs'!B7</f>
        <v>2.38</v>
      </c>
    </row>
    <row r="11" spans="1:4" ht="15" customHeight="1" x14ac:dyDescent="0.2">
      <c r="A11" s="12" t="s">
        <v>194</v>
      </c>
      <c r="B11" s="64">
        <f>'Base Inputs'!B20</f>
        <v>0.76</v>
      </c>
    </row>
    <row r="12" spans="1:4" ht="15" customHeight="1" x14ac:dyDescent="0.2">
      <c r="A12" s="12" t="s">
        <v>88</v>
      </c>
      <c r="B12" s="65">
        <f>'Base Inputs'!B21</f>
        <v>0.85</v>
      </c>
    </row>
    <row r="13" spans="1:4" ht="15" customHeight="1" x14ac:dyDescent="0.2">
      <c r="A13" s="12" t="s">
        <v>101</v>
      </c>
      <c r="B13" s="66">
        <f>'Base Inputs'!B27</f>
        <v>0.03</v>
      </c>
    </row>
    <row r="14" spans="1:4" ht="15" customHeight="1" x14ac:dyDescent="0.2">
      <c r="A14" s="12" t="s">
        <v>109</v>
      </c>
      <c r="B14" s="67">
        <f>'Base Inputs'!B30</f>
        <v>0.05</v>
      </c>
    </row>
    <row r="15" spans="1:4" ht="15" customHeight="1" x14ac:dyDescent="0.2">
      <c r="A15" s="12"/>
      <c r="B15" s="64"/>
    </row>
    <row r="16" spans="1:4" ht="15" customHeight="1" x14ac:dyDescent="0.2">
      <c r="A16" s="12" t="s">
        <v>195</v>
      </c>
      <c r="B16" s="64">
        <f>'Base Inputs'!B28</f>
        <v>0.55000000000000004</v>
      </c>
      <c r="D16" s="48" t="s">
        <v>196</v>
      </c>
    </row>
    <row r="17" spans="1:15" ht="15" customHeight="1" x14ac:dyDescent="0.2"/>
    <row r="18" spans="1:15" ht="15" customHeight="1" x14ac:dyDescent="0.2"/>
    <row r="19" spans="1:15" ht="15" customHeight="1" x14ac:dyDescent="0.2">
      <c r="A19" s="8" t="s">
        <v>197</v>
      </c>
    </row>
    <row r="20" spans="1:15" ht="15" customHeight="1" x14ac:dyDescent="0.2">
      <c r="A20" s="68"/>
      <c r="E20" s="11" t="s">
        <v>198</v>
      </c>
      <c r="F20" s="11" t="s">
        <v>199</v>
      </c>
      <c r="G20" s="11" t="s">
        <v>200</v>
      </c>
      <c r="H20" s="11" t="s">
        <v>201</v>
      </c>
      <c r="I20" s="11" t="s">
        <v>202</v>
      </c>
      <c r="J20" s="11" t="s">
        <v>203</v>
      </c>
      <c r="K20" s="11" t="s">
        <v>204</v>
      </c>
      <c r="L20" s="11" t="s">
        <v>205</v>
      </c>
      <c r="M20" s="11" t="s">
        <v>206</v>
      </c>
      <c r="N20" s="11" t="s">
        <v>207</v>
      </c>
      <c r="O20" s="11" t="s">
        <v>208</v>
      </c>
    </row>
    <row r="21" spans="1:15" ht="15" customHeight="1" x14ac:dyDescent="0.2">
      <c r="A21" s="12" t="s">
        <v>209</v>
      </c>
      <c r="E21" s="69">
        <f>B10</f>
        <v>2.38</v>
      </c>
      <c r="F21" s="69">
        <f>E21*(1+B13)</f>
        <v>2.4514</v>
      </c>
      <c r="G21" s="69">
        <f>F21*(1+B13)</f>
        <v>2.5249420000000002</v>
      </c>
      <c r="H21" s="69">
        <f>G21*(1+B13)</f>
        <v>2.6006902600000004</v>
      </c>
      <c r="I21" s="69">
        <f>H21*(1+B13)</f>
        <v>2.6787109678000003</v>
      </c>
      <c r="J21" s="69">
        <f>I21*(1+B13)</f>
        <v>2.7590722968340002</v>
      </c>
      <c r="K21" s="69">
        <f>J21*(1+B13)</f>
        <v>2.8418444657390203</v>
      </c>
      <c r="L21" s="69">
        <f>K21*(1+B13)</f>
        <v>2.9270997997111912</v>
      </c>
      <c r="M21" s="69">
        <f>L21*(1+B13)</f>
        <v>3.0149127937025271</v>
      </c>
      <c r="N21" s="69">
        <f>M21*(1+B13)</f>
        <v>3.105360177513603</v>
      </c>
    </row>
    <row r="22" spans="1:15" ht="15" customHeight="1" x14ac:dyDescent="0.2">
      <c r="A22" s="12" t="s">
        <v>210</v>
      </c>
      <c r="E22" s="69">
        <f>E21*B11*B12</f>
        <v>1.53748</v>
      </c>
      <c r="F22" s="69">
        <f>F21*B11*B12</f>
        <v>1.5836044</v>
      </c>
      <c r="G22" s="69">
        <f>G21*B11*B12</f>
        <v>1.6311125320000002</v>
      </c>
      <c r="H22" s="69">
        <f>H21*B11*B12</f>
        <v>1.6800459079600003</v>
      </c>
      <c r="I22" s="69">
        <f>I21*B11*B12</f>
        <v>1.7304472851988002</v>
      </c>
      <c r="J22" s="69">
        <f>J21*B11*B12</f>
        <v>1.7823607037547642</v>
      </c>
      <c r="K22" s="69">
        <f>K21*B11*B12</f>
        <v>1.8358315248674071</v>
      </c>
      <c r="L22" s="69">
        <f>L21*B11*B12</f>
        <v>1.8909064706134293</v>
      </c>
      <c r="M22" s="69">
        <f>M21*B11*B12</f>
        <v>1.9476336647318324</v>
      </c>
      <c r="N22" s="69">
        <f>N21*B11*B12</f>
        <v>2.0060626746737875</v>
      </c>
    </row>
    <row r="23" spans="1:15" ht="15" customHeight="1" x14ac:dyDescent="0.2">
      <c r="A23" s="70" t="s">
        <v>211</v>
      </c>
      <c r="E23" s="71">
        <f>E22*1000*(B16*B7+(1-B16)*B6)</f>
        <v>85.33014</v>
      </c>
      <c r="F23" s="71">
        <f>F22*1000*(B16*B7+(1-B16)*B6)</f>
        <v>87.890044199999991</v>
      </c>
      <c r="G23" s="71">
        <f>G22*1000*(B16*B7+(1-B16)*B6)</f>
        <v>90.526745526000013</v>
      </c>
      <c r="H23" s="71">
        <f>H22*1000*(B16*B7+(1-B16)*B6)</f>
        <v>93.242547891780021</v>
      </c>
      <c r="I23" s="71">
        <f>I22*1000*(B16*B7+(1-B16)*B6)</f>
        <v>96.039824328533413</v>
      </c>
      <c r="J23" s="71">
        <f>J22*1000*(B16*B7+(1-B16)*B6)</f>
        <v>98.921019058389419</v>
      </c>
      <c r="K23" s="71">
        <f>K22*1000*(B16*B7+(1-B16)*B6)</f>
        <v>101.88864963014109</v>
      </c>
      <c r="L23" s="71">
        <f>L22*1000*(B16*B7+(1-B16)*B6)</f>
        <v>104.94530911904533</v>
      </c>
      <c r="M23" s="71">
        <f>M22*1000*(B16*B7+(1-B16)*B6)</f>
        <v>108.09366839261669</v>
      </c>
      <c r="N23" s="71">
        <f>N22*1000*(B16*B7+(1-B16)*B6)</f>
        <v>111.33647844439521</v>
      </c>
      <c r="O23" s="50">
        <f>SUM(E23:N23)</f>
        <v>978.21442659090121</v>
      </c>
    </row>
    <row r="24" spans="1:15" ht="15" customHeight="1" x14ac:dyDescent="0.2"/>
    <row r="25" spans="1:15" ht="15" customHeight="1" x14ac:dyDescent="0.2">
      <c r="A25" s="8" t="s">
        <v>212</v>
      </c>
    </row>
    <row r="26" spans="1:15" ht="15" customHeight="1" x14ac:dyDescent="0.2">
      <c r="A26" s="12"/>
      <c r="B26" s="53"/>
      <c r="E26" t="s">
        <v>198</v>
      </c>
      <c r="F26" t="s">
        <v>199</v>
      </c>
      <c r="G26" t="s">
        <v>200</v>
      </c>
      <c r="H26" t="s">
        <v>201</v>
      </c>
      <c r="I26" t="s">
        <v>202</v>
      </c>
      <c r="J26" t="s">
        <v>203</v>
      </c>
      <c r="K26" t="s">
        <v>204</v>
      </c>
      <c r="L26" t="s">
        <v>205</v>
      </c>
      <c r="M26" t="s">
        <v>206</v>
      </c>
      <c r="N26" t="s">
        <v>207</v>
      </c>
      <c r="O26" t="s">
        <v>208</v>
      </c>
    </row>
    <row r="27" spans="1:15" ht="15" customHeight="1" x14ac:dyDescent="0.2">
      <c r="A27" t="s">
        <v>209</v>
      </c>
      <c r="E27" s="72">
        <f>B10</f>
        <v>2.38</v>
      </c>
      <c r="F27">
        <f>E27*(1+B14)</f>
        <v>2.4990000000000001</v>
      </c>
      <c r="G27">
        <f>F27*(1+B14)</f>
        <v>2.6239500000000002</v>
      </c>
      <c r="H27">
        <f>G27*(1+B14)</f>
        <v>2.7551475000000005</v>
      </c>
      <c r="I27">
        <f>H27*(1+B14)</f>
        <v>2.8929048750000006</v>
      </c>
      <c r="J27">
        <f>I27*(1+B14)</f>
        <v>3.0375501187500009</v>
      </c>
      <c r="K27">
        <f>J27*(1+B14)</f>
        <v>3.1894276246875011</v>
      </c>
      <c r="L27">
        <f>K27*(1+B14)</f>
        <v>3.3488990059218762</v>
      </c>
      <c r="M27">
        <f>L27*(1+B14)</f>
        <v>3.5163439562179701</v>
      </c>
      <c r="N27">
        <f>M27*(1+B14)</f>
        <v>3.6921611540288688</v>
      </c>
    </row>
    <row r="28" spans="1:15" ht="15" customHeight="1" x14ac:dyDescent="0.2">
      <c r="A28" s="27" t="s">
        <v>210</v>
      </c>
      <c r="B28" s="28"/>
      <c r="C28" s="28"/>
      <c r="E28">
        <f>E27*B11*B12</f>
        <v>1.53748</v>
      </c>
      <c r="F28">
        <f>F27*B11*B12</f>
        <v>1.6143540000000001</v>
      </c>
      <c r="G28">
        <f>G27*B11*B12</f>
        <v>1.6950717000000002</v>
      </c>
      <c r="H28">
        <f>H27*B11*B12</f>
        <v>1.7798252850000003</v>
      </c>
      <c r="I28">
        <f>I27*B11*B12</f>
        <v>1.8688165492500004</v>
      </c>
      <c r="J28">
        <f>J27*B11*B12</f>
        <v>1.9622573767125007</v>
      </c>
      <c r="K28">
        <f>K27*B11*B12</f>
        <v>2.0603702455481256</v>
      </c>
      <c r="L28">
        <f>L27*B11*B12</f>
        <v>2.163388757825532</v>
      </c>
      <c r="M28">
        <f>M27*B11*B12</f>
        <v>2.2715581957168087</v>
      </c>
      <c r="N28">
        <f>N27*B11*B12</f>
        <v>2.3851361055026494</v>
      </c>
    </row>
    <row r="29" spans="1:15" ht="15" customHeight="1" x14ac:dyDescent="0.2">
      <c r="A29" s="12" t="s">
        <v>211</v>
      </c>
      <c r="B29" s="53">
        <f>B26*B14</f>
        <v>0</v>
      </c>
      <c r="E29">
        <f>E28*1000*(B16*B7+(1-B16)*B6)</f>
        <v>85.33014</v>
      </c>
      <c r="F29">
        <f>F28*1000*(B16*B7+(1-B16)*B6)</f>
        <v>89.596647000000004</v>
      </c>
      <c r="G29">
        <f>G28*1000*(B16*B7+(1-B16)*B6)</f>
        <v>94.076479350000014</v>
      </c>
      <c r="H29">
        <f>H28*1000*(B16*B7+(1-B16)*B6)</f>
        <v>98.780303317500014</v>
      </c>
      <c r="I29">
        <f>I28*1000*(B16*B7+(1-B16)*B6)</f>
        <v>103.71931848337502</v>
      </c>
      <c r="J29">
        <f>J28*1000*(B16*B7+(1-B16)*B6)</f>
        <v>108.90528440754379</v>
      </c>
      <c r="K29">
        <f>K28*1000*(B16*B7+(1-B16)*B6)</f>
        <v>114.35054862792097</v>
      </c>
      <c r="L29">
        <f>L28*1000*(B16*B7+(1-B16)*B6)</f>
        <v>120.06807605931704</v>
      </c>
      <c r="M29">
        <f>M28*1000*(B16*B7+(1-B16)*B6)</f>
        <v>126.07147986228289</v>
      </c>
      <c r="N29">
        <f>N28*1000*(B16*B7+(1-B16)*B6)</f>
        <v>132.37505385539706</v>
      </c>
      <c r="O29">
        <f>SUM(E29:N29)</f>
        <v>1073.2733309633368</v>
      </c>
    </row>
    <row r="30" spans="1:15" ht="15" customHeight="1" x14ac:dyDescent="0.2">
      <c r="A30" s="12"/>
      <c r="B30" s="53"/>
    </row>
    <row r="31" spans="1:15" ht="15.75" customHeight="1" x14ac:dyDescent="0.2"/>
    <row r="32" spans="1:15" ht="15.75" customHeight="1" x14ac:dyDescent="0.2">
      <c r="A32" s="73" t="s">
        <v>213</v>
      </c>
      <c r="B32" s="74"/>
      <c r="C32" s="74"/>
    </row>
    <row r="33" spans="1:4" ht="15" customHeight="1" x14ac:dyDescent="0.2">
      <c r="A33" s="12" t="s">
        <v>214</v>
      </c>
      <c r="B33" s="75">
        <f>O23</f>
        <v>978.21442659090121</v>
      </c>
    </row>
    <row r="34" spans="1:4" ht="15" customHeight="1" x14ac:dyDescent="0.2">
      <c r="A34" s="12" t="s">
        <v>215</v>
      </c>
      <c r="B34" s="75">
        <f>O29</f>
        <v>1073.2733309633368</v>
      </c>
    </row>
    <row r="35" spans="1:4" ht="15" customHeight="1" x14ac:dyDescent="0.2">
      <c r="A35" s="12" t="s">
        <v>216</v>
      </c>
      <c r="B35" s="75">
        <f>E23</f>
        <v>85.33014</v>
      </c>
    </row>
    <row r="36" spans="1:4" ht="15" customHeight="1" x14ac:dyDescent="0.2">
      <c r="A36" s="12" t="s">
        <v>217</v>
      </c>
      <c r="B36" s="75">
        <f>N29</f>
        <v>132.37505385539706</v>
      </c>
    </row>
    <row r="37" spans="1:4" ht="15" customHeight="1" x14ac:dyDescent="0.2"/>
    <row r="38" spans="1:4" ht="15" customHeight="1" x14ac:dyDescent="0.2">
      <c r="A38" s="76" t="s">
        <v>218</v>
      </c>
    </row>
    <row r="39" spans="1:4" ht="15" customHeight="1" x14ac:dyDescent="0.2">
      <c r="A39" s="77" t="s">
        <v>48</v>
      </c>
      <c r="B39" s="77" t="s">
        <v>49</v>
      </c>
      <c r="C39" s="77" t="s">
        <v>186</v>
      </c>
      <c r="D39" s="77" t="s">
        <v>187</v>
      </c>
    </row>
    <row r="40" spans="1:4" ht="15.75" customHeight="1" x14ac:dyDescent="0.2">
      <c r="A40" s="78" t="s">
        <v>219</v>
      </c>
      <c r="B40" s="79">
        <v>0.2</v>
      </c>
      <c r="C40" s="79">
        <v>0.2</v>
      </c>
      <c r="D40" s="78" t="s">
        <v>220</v>
      </c>
    </row>
    <row r="41" spans="1:4" ht="15" customHeight="1" x14ac:dyDescent="0.2">
      <c r="A41" s="78" t="s">
        <v>221</v>
      </c>
      <c r="B41" s="79">
        <v>0.8</v>
      </c>
      <c r="C41" s="79">
        <v>0.8</v>
      </c>
      <c r="D41" s="78" t="s">
        <v>222</v>
      </c>
    </row>
    <row r="42" spans="1:4" ht="15" customHeight="1" x14ac:dyDescent="0.2">
      <c r="A42" s="78" t="s">
        <v>223</v>
      </c>
      <c r="B42" s="79">
        <v>0.85</v>
      </c>
      <c r="C42" s="79">
        <v>0.85</v>
      </c>
      <c r="D42" s="78" t="s">
        <v>224</v>
      </c>
    </row>
    <row r="43" spans="1:4" ht="15" customHeight="1" x14ac:dyDescent="0.2">
      <c r="A43" s="78" t="s">
        <v>225</v>
      </c>
      <c r="B43" s="79">
        <v>0.4</v>
      </c>
      <c r="C43" s="79">
        <v>0.4</v>
      </c>
      <c r="D43" s="78" t="s">
        <v>226</v>
      </c>
    </row>
    <row r="44" spans="1:4" ht="15" customHeight="1" x14ac:dyDescent="0.2">
      <c r="A44" s="78" t="s">
        <v>227</v>
      </c>
      <c r="B44" s="80">
        <v>10</v>
      </c>
      <c r="C44" s="80">
        <v>10</v>
      </c>
      <c r="D44" s="78" t="s">
        <v>228</v>
      </c>
    </row>
    <row r="45" spans="1:4" ht="15" customHeight="1" x14ac:dyDescent="0.2">
      <c r="A45" s="78" t="s">
        <v>229</v>
      </c>
      <c r="B45" s="80">
        <v>7</v>
      </c>
      <c r="C45" s="80">
        <v>7</v>
      </c>
      <c r="D45" s="78" t="s">
        <v>230</v>
      </c>
    </row>
    <row r="46" spans="1:4" ht="15" customHeight="1" x14ac:dyDescent="0.2">
      <c r="A46" s="78" t="s">
        <v>231</v>
      </c>
      <c r="B46" s="79">
        <v>0.02</v>
      </c>
      <c r="C46" s="79">
        <v>0.02</v>
      </c>
      <c r="D46" s="78" t="s">
        <v>232</v>
      </c>
    </row>
    <row r="47" spans="1:4" ht="15" customHeight="1" x14ac:dyDescent="0.2">
      <c r="A47" s="78" t="s">
        <v>233</v>
      </c>
      <c r="B47" s="79">
        <v>1.1499999999999999</v>
      </c>
      <c r="C47" s="79">
        <v>1.1499999999999999</v>
      </c>
      <c r="D47" s="78" t="s">
        <v>234</v>
      </c>
    </row>
    <row r="48" spans="1:4" ht="15" customHeight="1" x14ac:dyDescent="0.2">
      <c r="A48" s="78" t="s">
        <v>235</v>
      </c>
      <c r="B48" s="79">
        <v>1.1000000000000001</v>
      </c>
      <c r="C48" s="79">
        <v>1.1000000000000001</v>
      </c>
      <c r="D48" s="78" t="s">
        <v>236</v>
      </c>
    </row>
    <row r="49" spans="1:4" ht="15" customHeight="1" x14ac:dyDescent="0.2">
      <c r="A49" s="78" t="s">
        <v>237</v>
      </c>
      <c r="B49" s="79">
        <v>1.05</v>
      </c>
      <c r="C49" s="79">
        <v>1.05</v>
      </c>
      <c r="D49" s="78" t="s">
        <v>238</v>
      </c>
    </row>
    <row r="50" spans="1:4" ht="15" customHeight="1" x14ac:dyDescent="0.2">
      <c r="A50" s="78" t="s">
        <v>239</v>
      </c>
      <c r="B50" s="79">
        <v>0.5</v>
      </c>
      <c r="C50" s="79">
        <v>0.5</v>
      </c>
      <c r="D50" s="78" t="s">
        <v>240</v>
      </c>
    </row>
    <row r="51" spans="1:4" ht="15" customHeight="1" x14ac:dyDescent="0.2">
      <c r="A51" s="78" t="s">
        <v>241</v>
      </c>
      <c r="B51" s="79">
        <v>0.15</v>
      </c>
      <c r="C51" s="79">
        <v>0.15</v>
      </c>
      <c r="D51" s="78" t="s">
        <v>242</v>
      </c>
    </row>
    <row r="53" spans="1:4" ht="15" customHeight="1" x14ac:dyDescent="0.2"/>
    <row r="54" spans="1:4" ht="15" customHeight="1" x14ac:dyDescent="0.2"/>
    <row r="55" spans="1:4" ht="15" customHeight="1" x14ac:dyDescent="0.2"/>
    <row r="56" spans="1:4" ht="15" customHeight="1" x14ac:dyDescent="0.2"/>
    <row r="57" spans="1:4" ht="15" customHeight="1" x14ac:dyDescent="0.2"/>
    <row r="58" spans="1:4" ht="15" customHeight="1" x14ac:dyDescent="0.2"/>
    <row r="59" spans="1:4" ht="15" customHeight="1" x14ac:dyDescent="0.2"/>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C00000"/>
  </sheetPr>
  <dimension ref="A1:O59"/>
  <sheetViews>
    <sheetView zoomScaleNormal="100" workbookViewId="0">
      <pane ySplit="5" topLeftCell="A6" activePane="bottomLeft" state="frozen"/>
      <selection pane="bottomLeft" activeCell="D12" sqref="D12"/>
    </sheetView>
  </sheetViews>
  <sheetFormatPr baseColWidth="10" defaultColWidth="8.6640625" defaultRowHeight="15" x14ac:dyDescent="0.2"/>
  <cols>
    <col min="1" max="1" width="40" customWidth="1"/>
    <col min="2" max="3" width="16" customWidth="1"/>
    <col min="4" max="15" width="14" customWidth="1"/>
  </cols>
  <sheetData>
    <row r="1" spans="1:4" ht="19.5" customHeight="1" x14ac:dyDescent="0.2">
      <c r="A1" s="26" t="s">
        <v>243</v>
      </c>
    </row>
    <row r="2" spans="1:4" ht="15" customHeight="1" x14ac:dyDescent="0.2">
      <c r="A2" s="7" t="s">
        <v>244</v>
      </c>
    </row>
    <row r="4" spans="1:4" ht="15.75" customHeight="1" x14ac:dyDescent="0.2">
      <c r="A4" s="8" t="s">
        <v>184</v>
      </c>
    </row>
    <row r="5" spans="1:4" ht="15" customHeight="1" x14ac:dyDescent="0.2">
      <c r="A5" s="11" t="s">
        <v>48</v>
      </c>
      <c r="B5" s="11" t="s">
        <v>185</v>
      </c>
      <c r="C5" s="11" t="s">
        <v>186</v>
      </c>
      <c r="D5" s="11" t="s">
        <v>187</v>
      </c>
    </row>
    <row r="6" spans="1:4" ht="15" customHeight="1" x14ac:dyDescent="0.2">
      <c r="A6" s="12" t="s">
        <v>245</v>
      </c>
      <c r="B6" s="36">
        <v>0.08</v>
      </c>
      <c r="C6" s="81">
        <v>0.08</v>
      </c>
      <c r="D6" s="30" t="s">
        <v>246</v>
      </c>
    </row>
    <row r="7" spans="1:4" ht="15" customHeight="1" x14ac:dyDescent="0.2">
      <c r="A7" s="12" t="s">
        <v>247</v>
      </c>
      <c r="B7" s="36">
        <v>0.1</v>
      </c>
      <c r="C7" s="81">
        <v>0.1</v>
      </c>
      <c r="D7" s="30" t="s">
        <v>248</v>
      </c>
    </row>
    <row r="8" spans="1:4" ht="15" customHeight="1" x14ac:dyDescent="0.2"/>
    <row r="9" spans="1:4" ht="15" customHeight="1" x14ac:dyDescent="0.2">
      <c r="A9" s="27" t="s">
        <v>192</v>
      </c>
      <c r="B9" s="28"/>
      <c r="C9" s="28"/>
      <c r="D9" s="28"/>
    </row>
    <row r="10" spans="1:4" ht="15" customHeight="1" x14ac:dyDescent="0.2">
      <c r="A10" s="12" t="s">
        <v>249</v>
      </c>
      <c r="B10" s="63">
        <f>'Base Inputs'!B8</f>
        <v>0.57999999999999996</v>
      </c>
    </row>
    <row r="11" spans="1:4" ht="15" customHeight="1" x14ac:dyDescent="0.2">
      <c r="A11" s="12" t="s">
        <v>250</v>
      </c>
      <c r="B11" s="64">
        <f>'Base Inputs'!B24</f>
        <v>0.8</v>
      </c>
    </row>
    <row r="12" spans="1:4" ht="15" customHeight="1" x14ac:dyDescent="0.2">
      <c r="A12" s="12" t="s">
        <v>88</v>
      </c>
      <c r="B12" s="65">
        <f>'Base Inputs'!B21</f>
        <v>0.85</v>
      </c>
    </row>
    <row r="13" spans="1:4" ht="15" customHeight="1" x14ac:dyDescent="0.2">
      <c r="A13" s="12" t="s">
        <v>101</v>
      </c>
      <c r="B13" s="66">
        <f>'Base Inputs'!B27</f>
        <v>0.03</v>
      </c>
    </row>
    <row r="14" spans="1:4" ht="15" customHeight="1" x14ac:dyDescent="0.2">
      <c r="A14" s="12" t="s">
        <v>109</v>
      </c>
      <c r="B14" s="67">
        <f>'Base Inputs'!B30</f>
        <v>0.05</v>
      </c>
    </row>
    <row r="15" spans="1:4" ht="15" customHeight="1" x14ac:dyDescent="0.2">
      <c r="A15" s="12"/>
      <c r="B15" s="66"/>
    </row>
    <row r="16" spans="1:4" ht="15" customHeight="1" x14ac:dyDescent="0.2">
      <c r="A16" s="12" t="s">
        <v>251</v>
      </c>
      <c r="B16" s="64">
        <f>'Base Inputs'!B29</f>
        <v>0.6</v>
      </c>
      <c r="D16" s="48" t="s">
        <v>252</v>
      </c>
    </row>
    <row r="17" spans="1:15" ht="15" customHeight="1" x14ac:dyDescent="0.2"/>
    <row r="18" spans="1:15" ht="15" customHeight="1" x14ac:dyDescent="0.2"/>
    <row r="19" spans="1:15" ht="15" customHeight="1" x14ac:dyDescent="0.2">
      <c r="A19" s="8" t="s">
        <v>197</v>
      </c>
    </row>
    <row r="20" spans="1:15" ht="15" customHeight="1" x14ac:dyDescent="0.2">
      <c r="A20" s="82"/>
      <c r="E20" s="11" t="s">
        <v>198</v>
      </c>
      <c r="F20" s="11" t="s">
        <v>199</v>
      </c>
      <c r="G20" s="11" t="s">
        <v>200</v>
      </c>
      <c r="H20" s="11" t="s">
        <v>201</v>
      </c>
      <c r="I20" s="11" t="s">
        <v>202</v>
      </c>
      <c r="J20" s="11" t="s">
        <v>203</v>
      </c>
      <c r="K20" s="11" t="s">
        <v>204</v>
      </c>
      <c r="L20" s="11" t="s">
        <v>205</v>
      </c>
      <c r="M20" s="11" t="s">
        <v>206</v>
      </c>
      <c r="N20" s="11" t="s">
        <v>207</v>
      </c>
      <c r="O20" s="11" t="s">
        <v>208</v>
      </c>
    </row>
    <row r="21" spans="1:15" ht="15" customHeight="1" x14ac:dyDescent="0.2">
      <c r="A21" s="12" t="s">
        <v>249</v>
      </c>
      <c r="E21" s="69">
        <f>B10</f>
        <v>0.57999999999999996</v>
      </c>
      <c r="F21" s="69">
        <f>E21*(1+B13)</f>
        <v>0.59739999999999993</v>
      </c>
      <c r="G21" s="69">
        <f>F21*(1+B13)</f>
        <v>0.61532199999999992</v>
      </c>
      <c r="H21" s="69">
        <f>G21*(1+B13)</f>
        <v>0.63378165999999991</v>
      </c>
      <c r="I21" s="69">
        <f>H21*(1+B13)</f>
        <v>0.65279510979999988</v>
      </c>
      <c r="J21" s="69">
        <f>I21*(1+B13)</f>
        <v>0.67237896309399992</v>
      </c>
      <c r="K21" s="69">
        <f>J21*(1+B13)</f>
        <v>0.69255033198681992</v>
      </c>
      <c r="L21" s="69">
        <f>K21*(1+B13)</f>
        <v>0.71332684194642448</v>
      </c>
      <c r="M21" s="69">
        <f>L21*(1+B13)</f>
        <v>0.73472664720481728</v>
      </c>
      <c r="N21" s="69">
        <f>M21*(1+B13)</f>
        <v>0.75676844662096188</v>
      </c>
    </row>
    <row r="22" spans="1:15" ht="15" customHeight="1" x14ac:dyDescent="0.2">
      <c r="A22" s="12" t="s">
        <v>210</v>
      </c>
      <c r="E22" s="69">
        <f>E21*B11*B12</f>
        <v>0.39439999999999997</v>
      </c>
      <c r="F22" s="69">
        <f>F21*B11*B12</f>
        <v>0.40623199999999993</v>
      </c>
      <c r="G22" s="69">
        <f>G21*B11*B12</f>
        <v>0.41841895999999995</v>
      </c>
      <c r="H22" s="69">
        <f>H21*B11*B12</f>
        <v>0.4309715288</v>
      </c>
      <c r="I22" s="69">
        <f>I21*B11*B12</f>
        <v>0.44390067466399996</v>
      </c>
      <c r="J22" s="69">
        <f>J21*B11*B12</f>
        <v>0.45721769490391995</v>
      </c>
      <c r="K22" s="69">
        <f>K21*B11*B12</f>
        <v>0.47093422575103755</v>
      </c>
      <c r="L22" s="69">
        <f>L21*B11*B12</f>
        <v>0.48506225252356866</v>
      </c>
      <c r="M22" s="69">
        <f>M21*B11*B12</f>
        <v>0.4996141200992758</v>
      </c>
      <c r="N22" s="69">
        <f>N21*B11*B12</f>
        <v>0.51460254370225411</v>
      </c>
    </row>
    <row r="23" spans="1:15" ht="15.75" customHeight="1" x14ac:dyDescent="0.2">
      <c r="A23" s="70" t="s">
        <v>211</v>
      </c>
      <c r="E23" s="71">
        <f>E22*1000*(B16*B7+(1-B16)*B6)</f>
        <v>36.284799999999997</v>
      </c>
      <c r="F23" s="71">
        <f>F22*1000*(B16*B7+(1-B16)*B6)</f>
        <v>37.373343999999989</v>
      </c>
      <c r="G23" s="71">
        <f>G22*1000*(B16*B7+(1-B16)*B6)</f>
        <v>38.494544319999996</v>
      </c>
      <c r="H23" s="71">
        <f>H22*1000*(B16*B7+(1-B16)*B6)</f>
        <v>39.649380649599998</v>
      </c>
      <c r="I23" s="71">
        <f>I22*1000*(B16*B7+(1-B16)*B6)</f>
        <v>40.838862069087995</v>
      </c>
      <c r="J23" s="71">
        <f>J22*1000*(B16*B7+(1-B16)*B6)</f>
        <v>42.064027931160638</v>
      </c>
      <c r="K23" s="71">
        <f>K22*1000*(B16*B7+(1-B16)*B6)</f>
        <v>43.325948769095454</v>
      </c>
      <c r="L23" s="71">
        <f>L22*1000*(B16*B7+(1-B16)*B6)</f>
        <v>44.625727232168316</v>
      </c>
      <c r="M23" s="71">
        <f>M22*1000*(B16*B7+(1-B16)*B6)</f>
        <v>45.964499049133373</v>
      </c>
      <c r="N23" s="71">
        <f>N22*1000*(B16*B7+(1-B16)*B6)</f>
        <v>47.343434020607383</v>
      </c>
      <c r="O23" s="50">
        <f>SUM(E23:N23)</f>
        <v>415.96456804085324</v>
      </c>
    </row>
    <row r="24" spans="1:15" ht="15.75" customHeight="1" x14ac:dyDescent="0.2"/>
    <row r="25" spans="1:15" ht="15" customHeight="1" x14ac:dyDescent="0.2">
      <c r="A25" s="8" t="s">
        <v>212</v>
      </c>
    </row>
    <row r="26" spans="1:15" ht="15" customHeight="1" x14ac:dyDescent="0.2">
      <c r="A26" s="12"/>
      <c r="B26" s="53"/>
      <c r="E26" t="s">
        <v>198</v>
      </c>
      <c r="F26" t="s">
        <v>199</v>
      </c>
      <c r="G26" t="s">
        <v>200</v>
      </c>
      <c r="H26" t="s">
        <v>201</v>
      </c>
      <c r="I26" t="s">
        <v>202</v>
      </c>
      <c r="J26" t="s">
        <v>203</v>
      </c>
      <c r="K26" t="s">
        <v>204</v>
      </c>
      <c r="L26" t="s">
        <v>205</v>
      </c>
      <c r="M26" t="s">
        <v>206</v>
      </c>
      <c r="N26" t="s">
        <v>207</v>
      </c>
      <c r="O26" t="s">
        <v>208</v>
      </c>
    </row>
    <row r="27" spans="1:15" ht="15" customHeight="1" x14ac:dyDescent="0.2">
      <c r="A27" t="s">
        <v>249</v>
      </c>
      <c r="E27" s="72">
        <f>B10</f>
        <v>0.57999999999999996</v>
      </c>
      <c r="F27">
        <f>E27*(1+B14)</f>
        <v>0.60899999999999999</v>
      </c>
      <c r="G27">
        <f>F27*(1+B14)</f>
        <v>0.63944999999999996</v>
      </c>
      <c r="H27">
        <f>G27*(1+B14)</f>
        <v>0.67142250000000003</v>
      </c>
      <c r="I27">
        <f>H27*(1+B14)</f>
        <v>0.70499362500000007</v>
      </c>
      <c r="J27">
        <f>I27*(1+B14)</f>
        <v>0.74024330625000012</v>
      </c>
      <c r="K27">
        <f>J27*(1+B14)</f>
        <v>0.77725547156250019</v>
      </c>
      <c r="L27">
        <f>K27*(1+B14)</f>
        <v>0.81611824514062525</v>
      </c>
      <c r="M27">
        <f>L27*(1+B14)</f>
        <v>0.85692415739765659</v>
      </c>
      <c r="N27">
        <f>M27*(1+B14)</f>
        <v>0.89977036526753951</v>
      </c>
    </row>
    <row r="28" spans="1:15" ht="15" customHeight="1" x14ac:dyDescent="0.2">
      <c r="A28" s="27" t="s">
        <v>210</v>
      </c>
      <c r="B28" s="28"/>
      <c r="C28" s="28"/>
      <c r="E28">
        <f>E27*B11*B12</f>
        <v>0.39439999999999997</v>
      </c>
      <c r="F28">
        <f>F27*B11*B12</f>
        <v>0.41411999999999999</v>
      </c>
      <c r="G28">
        <f>G27*B11*B12</f>
        <v>0.43482599999999999</v>
      </c>
      <c r="H28">
        <f>H27*B11*B12</f>
        <v>0.45656730000000001</v>
      </c>
      <c r="I28">
        <f>I27*B11*B12</f>
        <v>0.47939566500000003</v>
      </c>
      <c r="J28">
        <f>J27*B11*B12</f>
        <v>0.50336544825000007</v>
      </c>
      <c r="K28">
        <f>K27*B11*B12</f>
        <v>0.52853372066250015</v>
      </c>
      <c r="L28">
        <f>L27*B11*B12</f>
        <v>0.55496040669562519</v>
      </c>
      <c r="M28">
        <f>M27*B11*B12</f>
        <v>0.58270842703040648</v>
      </c>
      <c r="N28">
        <f>N27*B11*B12</f>
        <v>0.61184384838192685</v>
      </c>
    </row>
    <row r="29" spans="1:15" ht="15" customHeight="1" x14ac:dyDescent="0.2">
      <c r="A29" s="12" t="s">
        <v>211</v>
      </c>
      <c r="B29" s="53">
        <f>B26*B14</f>
        <v>0</v>
      </c>
      <c r="E29">
        <f>E28*1000*(B16*B7+(1-B16)*B6)</f>
        <v>36.284799999999997</v>
      </c>
      <c r="F29">
        <f>F28*1000*(B16*B7+(1-B16)*B6)</f>
        <v>38.099040000000002</v>
      </c>
      <c r="G29">
        <f>G28*1000*(B16*B7+(1-B16)*B6)</f>
        <v>40.003991999999997</v>
      </c>
      <c r="H29">
        <f>H28*1000*(B16*B7+(1-B16)*B6)</f>
        <v>42.004191599999999</v>
      </c>
      <c r="I29">
        <f>I28*1000*(B16*B7+(1-B16)*B6)</f>
        <v>44.104401180000004</v>
      </c>
      <c r="J29">
        <f>J28*1000*(B16*B7+(1-B16)*B6)</f>
        <v>46.309621239000002</v>
      </c>
      <c r="K29">
        <f>K28*1000*(B16*B7+(1-B16)*B6)</f>
        <v>48.625102300950012</v>
      </c>
      <c r="L29">
        <f>L28*1000*(B16*B7+(1-B16)*B6)</f>
        <v>51.056357415997518</v>
      </c>
      <c r="M29">
        <f>M28*1000*(B16*B7+(1-B16)*B6)</f>
        <v>53.609175286797395</v>
      </c>
      <c r="N29">
        <f>N28*1000*(B16*B7+(1-B16)*B6)</f>
        <v>56.289634051137263</v>
      </c>
      <c r="O29">
        <f>SUM(E29:N29)</f>
        <v>456.3863150738822</v>
      </c>
    </row>
    <row r="30" spans="1:15" ht="15" customHeight="1" x14ac:dyDescent="0.2">
      <c r="A30" s="12"/>
      <c r="B30" s="53"/>
    </row>
    <row r="32" spans="1:15" ht="15.75" customHeight="1" x14ac:dyDescent="0.2">
      <c r="A32" s="73" t="s">
        <v>213</v>
      </c>
      <c r="B32" s="74"/>
      <c r="C32" s="74"/>
    </row>
    <row r="33" spans="1:9" ht="15" customHeight="1" x14ac:dyDescent="0.2">
      <c r="A33" s="12" t="s">
        <v>253</v>
      </c>
      <c r="B33" s="75">
        <f>O23</f>
        <v>415.96456804085324</v>
      </c>
    </row>
    <row r="34" spans="1:9" ht="15" customHeight="1" x14ac:dyDescent="0.2">
      <c r="A34" s="12" t="s">
        <v>254</v>
      </c>
      <c r="B34" s="75">
        <f>O29</f>
        <v>456.3863150738822</v>
      </c>
    </row>
    <row r="35" spans="1:9" ht="15" customHeight="1" x14ac:dyDescent="0.2">
      <c r="A35" s="12" t="s">
        <v>255</v>
      </c>
      <c r="B35" s="75">
        <f>E23</f>
        <v>36.284799999999997</v>
      </c>
    </row>
    <row r="36" spans="1:9" ht="15" customHeight="1" x14ac:dyDescent="0.2">
      <c r="A36" s="12" t="s">
        <v>256</v>
      </c>
      <c r="B36" s="75">
        <f>N29</f>
        <v>56.289634051137263</v>
      </c>
    </row>
    <row r="37" spans="1:9" ht="15" customHeight="1" x14ac:dyDescent="0.2"/>
    <row r="38" spans="1:9" ht="15" customHeight="1" x14ac:dyDescent="0.2">
      <c r="A38" s="83"/>
      <c r="B38" s="83"/>
      <c r="C38" s="83"/>
      <c r="D38" s="83"/>
      <c r="E38" s="83"/>
      <c r="F38" s="83"/>
      <c r="G38" s="83"/>
      <c r="H38" s="83"/>
      <c r="I38" s="83"/>
    </row>
    <row r="39" spans="1:9" ht="15" customHeight="1" x14ac:dyDescent="0.2">
      <c r="A39" s="83"/>
      <c r="B39" s="83"/>
      <c r="C39" s="83"/>
      <c r="D39" s="83"/>
      <c r="E39" s="83"/>
      <c r="F39" s="83"/>
      <c r="G39" s="83"/>
      <c r="H39" s="83"/>
      <c r="I39" s="83"/>
    </row>
    <row r="40" spans="1:9" ht="15" customHeight="1" x14ac:dyDescent="0.2"/>
    <row r="41" spans="1:9" ht="15" customHeight="1" x14ac:dyDescent="0.2">
      <c r="A41" s="76" t="s">
        <v>218</v>
      </c>
    </row>
    <row r="42" spans="1:9" ht="15" customHeight="1" x14ac:dyDescent="0.2">
      <c r="A42" s="77" t="s">
        <v>48</v>
      </c>
      <c r="B42" s="77" t="s">
        <v>49</v>
      </c>
      <c r="C42" s="77" t="s">
        <v>186</v>
      </c>
      <c r="D42" s="77" t="s">
        <v>187</v>
      </c>
    </row>
    <row r="43" spans="1:9" ht="15" customHeight="1" x14ac:dyDescent="0.2">
      <c r="A43" s="78" t="s">
        <v>257</v>
      </c>
      <c r="B43" s="80">
        <v>12</v>
      </c>
      <c r="C43" s="80">
        <v>12</v>
      </c>
      <c r="D43" s="78" t="s">
        <v>258</v>
      </c>
    </row>
    <row r="44" spans="1:9" ht="15" customHeight="1" x14ac:dyDescent="0.2">
      <c r="A44" s="78" t="s">
        <v>229</v>
      </c>
      <c r="B44" s="80">
        <v>10</v>
      </c>
      <c r="C44" s="80">
        <v>10</v>
      </c>
      <c r="D44" s="78" t="s">
        <v>259</v>
      </c>
    </row>
    <row r="45" spans="1:9" ht="15" customHeight="1" x14ac:dyDescent="0.2">
      <c r="A45" s="78" t="s">
        <v>260</v>
      </c>
      <c r="B45" s="80">
        <v>14</v>
      </c>
      <c r="C45" s="80">
        <v>14</v>
      </c>
      <c r="D45" s="78" t="s">
        <v>261</v>
      </c>
    </row>
    <row r="46" spans="1:9" ht="15" customHeight="1" x14ac:dyDescent="0.2"/>
    <row r="47" spans="1:9" ht="15" customHeight="1" x14ac:dyDescent="0.2"/>
    <row r="48" spans="1:9" ht="15" customHeight="1" x14ac:dyDescent="0.2"/>
    <row r="49" ht="15" customHeight="1" x14ac:dyDescent="0.2"/>
    <row r="50" ht="15" customHeight="1" x14ac:dyDescent="0.2"/>
    <row r="51" ht="15" customHeight="1" x14ac:dyDescent="0.2"/>
    <row r="53" ht="15" customHeight="1" x14ac:dyDescent="0.2"/>
    <row r="54" ht="15" customHeight="1" x14ac:dyDescent="0.2"/>
    <row r="55" ht="15" customHeight="1" x14ac:dyDescent="0.2"/>
    <row r="56" ht="15" customHeight="1" x14ac:dyDescent="0.2"/>
    <row r="57" ht="15" customHeight="1" x14ac:dyDescent="0.2"/>
    <row r="59" ht="42.75" customHeight="1" x14ac:dyDescent="0.2"/>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548235"/>
  </sheetPr>
  <dimension ref="A1:D109"/>
  <sheetViews>
    <sheetView topLeftCell="A75" zoomScaleNormal="100" workbookViewId="0">
      <selection activeCell="D97" sqref="D97"/>
    </sheetView>
  </sheetViews>
  <sheetFormatPr baseColWidth="10" defaultColWidth="8.6640625" defaultRowHeight="15" x14ac:dyDescent="0.2"/>
  <cols>
    <col min="1" max="1" width="40" customWidth="1"/>
    <col min="2" max="3" width="16" customWidth="1"/>
    <col min="4" max="4" width="20" customWidth="1"/>
  </cols>
  <sheetData>
    <row r="1" spans="1:4" ht="19.5" customHeight="1" x14ac:dyDescent="0.2">
      <c r="A1" s="26" t="s">
        <v>262</v>
      </c>
    </row>
    <row r="2" spans="1:4" ht="15" customHeight="1" x14ac:dyDescent="0.2">
      <c r="A2" s="7" t="s">
        <v>263</v>
      </c>
    </row>
    <row r="4" spans="1:4" ht="15.75" customHeight="1" x14ac:dyDescent="0.2">
      <c r="A4" s="8" t="s">
        <v>184</v>
      </c>
    </row>
    <row r="5" spans="1:4" ht="15" customHeight="1" x14ac:dyDescent="0.2">
      <c r="A5" s="11" t="s">
        <v>48</v>
      </c>
      <c r="B5" s="11" t="s">
        <v>185</v>
      </c>
      <c r="C5" s="11" t="s">
        <v>186</v>
      </c>
      <c r="D5" s="11" t="s">
        <v>187</v>
      </c>
    </row>
    <row r="6" spans="1:4" ht="15" customHeight="1" x14ac:dyDescent="0.2">
      <c r="A6" s="12" t="s">
        <v>264</v>
      </c>
      <c r="B6" s="34">
        <v>25</v>
      </c>
      <c r="C6" s="84">
        <v>25</v>
      </c>
      <c r="D6" s="30" t="s">
        <v>265</v>
      </c>
    </row>
    <row r="7" spans="1:4" ht="15" customHeight="1" x14ac:dyDescent="0.2">
      <c r="A7" s="12" t="s">
        <v>266</v>
      </c>
      <c r="B7" s="34">
        <v>10</v>
      </c>
      <c r="C7" s="84">
        <v>10</v>
      </c>
      <c r="D7" s="30" t="s">
        <v>267</v>
      </c>
    </row>
    <row r="8" spans="1:4" ht="15" customHeight="1" x14ac:dyDescent="0.2">
      <c r="A8" s="12" t="s">
        <v>268</v>
      </c>
      <c r="B8" s="37">
        <v>6.2E-2</v>
      </c>
      <c r="C8" s="62">
        <v>6.2E-2</v>
      </c>
      <c r="D8" s="30" t="s">
        <v>269</v>
      </c>
    </row>
    <row r="9" spans="1:4" ht="15" customHeight="1" x14ac:dyDescent="0.2">
      <c r="A9" s="12" t="s">
        <v>270</v>
      </c>
      <c r="B9" s="37">
        <v>7.6999999999999999E-2</v>
      </c>
      <c r="C9" s="62">
        <v>7.6999999999999999E-2</v>
      </c>
      <c r="D9" s="30" t="s">
        <v>269</v>
      </c>
    </row>
    <row r="10" spans="1:4" ht="15" customHeight="1" x14ac:dyDescent="0.2">
      <c r="A10" s="12" t="s">
        <v>271</v>
      </c>
      <c r="B10" s="36">
        <v>0.35</v>
      </c>
      <c r="C10" s="81">
        <v>0.35</v>
      </c>
      <c r="D10" s="30" t="s">
        <v>272</v>
      </c>
    </row>
    <row r="11" spans="1:4" ht="15" customHeight="1" x14ac:dyDescent="0.2">
      <c r="A11" s="12" t="s">
        <v>273</v>
      </c>
      <c r="B11" s="37">
        <v>0.79300000000000004</v>
      </c>
      <c r="C11" s="62">
        <v>0.79300000000000004</v>
      </c>
      <c r="D11" s="30" t="s">
        <v>274</v>
      </c>
    </row>
    <row r="12" spans="1:4" ht="15" customHeight="1" x14ac:dyDescent="0.2">
      <c r="A12" s="12" t="s">
        <v>275</v>
      </c>
      <c r="B12" s="36">
        <v>0.4</v>
      </c>
      <c r="C12" s="81">
        <v>0.4</v>
      </c>
      <c r="D12" s="30" t="s">
        <v>276</v>
      </c>
    </row>
    <row r="13" spans="1:4" ht="15" customHeight="1" x14ac:dyDescent="0.2">
      <c r="A13" s="12" t="s">
        <v>277</v>
      </c>
      <c r="B13" s="85">
        <v>4.0000000000000001E-3</v>
      </c>
      <c r="C13" s="62">
        <v>4.0000000000000001E-3</v>
      </c>
      <c r="D13" s="30" t="s">
        <v>278</v>
      </c>
    </row>
    <row r="14" spans="1:4" ht="15" customHeight="1" x14ac:dyDescent="0.2">
      <c r="A14" s="12" t="s">
        <v>279</v>
      </c>
      <c r="B14" s="85">
        <v>1.5E-3</v>
      </c>
      <c r="C14" s="62">
        <v>1.5E-3</v>
      </c>
      <c r="D14" s="30" t="s">
        <v>280</v>
      </c>
    </row>
    <row r="15" spans="1:4" ht="15" customHeight="1" x14ac:dyDescent="0.2">
      <c r="A15" s="12" t="s">
        <v>281</v>
      </c>
      <c r="B15" s="86">
        <v>0.4</v>
      </c>
      <c r="C15" s="87">
        <v>0.4</v>
      </c>
      <c r="D15" t="s">
        <v>282</v>
      </c>
    </row>
    <row r="16" spans="1:4" ht="15.75" customHeight="1" x14ac:dyDescent="0.2">
      <c r="A16" s="12" t="s">
        <v>283</v>
      </c>
      <c r="B16" s="85">
        <v>8.0000000000000004E-4</v>
      </c>
      <c r="C16" s="88">
        <v>8.0000000000000004E-4</v>
      </c>
      <c r="D16" s="30" t="s">
        <v>284</v>
      </c>
    </row>
    <row r="17" spans="1:4" ht="15" customHeight="1" x14ac:dyDescent="0.2">
      <c r="A17" s="12" t="s">
        <v>285</v>
      </c>
      <c r="B17" s="89">
        <v>1.3</v>
      </c>
      <c r="C17" s="90">
        <v>1.3</v>
      </c>
      <c r="D17" s="30" t="s">
        <v>286</v>
      </c>
    </row>
    <row r="18" spans="1:4" ht="15" customHeight="1" x14ac:dyDescent="0.2">
      <c r="A18" t="s">
        <v>287</v>
      </c>
      <c r="B18" s="91">
        <v>1</v>
      </c>
      <c r="C18">
        <v>1</v>
      </c>
      <c r="D18" t="s">
        <v>288</v>
      </c>
    </row>
    <row r="19" spans="1:4" ht="15" customHeight="1" x14ac:dyDescent="0.2">
      <c r="A19" t="s">
        <v>289</v>
      </c>
      <c r="B19" s="92">
        <f>B6-B7-B17-B18-AVERAGE(B39,B40)*(10/B22)*B21</f>
        <v>4.6304781549887064</v>
      </c>
      <c r="D19" t="s">
        <v>290</v>
      </c>
    </row>
    <row r="20" spans="1:4" ht="15" customHeight="1" x14ac:dyDescent="0.2">
      <c r="A20" s="93" t="s">
        <v>291</v>
      </c>
      <c r="B20" s="94">
        <v>5</v>
      </c>
      <c r="C20" s="93">
        <v>5</v>
      </c>
      <c r="D20" s="93" t="s">
        <v>292</v>
      </c>
    </row>
    <row r="21" spans="1:4" ht="15" customHeight="1" x14ac:dyDescent="0.2">
      <c r="A21" s="95" t="s">
        <v>293</v>
      </c>
      <c r="B21" s="96">
        <v>0.02</v>
      </c>
      <c r="C21" s="97">
        <v>0.02</v>
      </c>
      <c r="D21" s="93" t="s">
        <v>294</v>
      </c>
    </row>
    <row r="22" spans="1:4" ht="15" customHeight="1" x14ac:dyDescent="0.2">
      <c r="A22" s="98" t="s">
        <v>295</v>
      </c>
      <c r="B22" s="99">
        <v>7</v>
      </c>
      <c r="C22" s="98">
        <v>7</v>
      </c>
      <c r="D22" s="93" t="s">
        <v>296</v>
      </c>
    </row>
    <row r="23" spans="1:4" ht="15" customHeight="1" x14ac:dyDescent="0.2">
      <c r="A23" s="97"/>
      <c r="B23" s="97"/>
      <c r="C23" s="97"/>
      <c r="D23" s="93"/>
    </row>
    <row r="24" spans="1:4" ht="15" customHeight="1" x14ac:dyDescent="0.2">
      <c r="A24" s="100" t="s">
        <v>297</v>
      </c>
      <c r="B24" s="101"/>
      <c r="C24" s="98"/>
      <c r="D24" s="93"/>
    </row>
    <row r="25" spans="1:4" ht="15" customHeight="1" x14ac:dyDescent="0.2">
      <c r="A25" s="98" t="s">
        <v>298</v>
      </c>
      <c r="B25" s="102">
        <f>(B17+B18)/10</f>
        <v>0.22999999999999998</v>
      </c>
      <c r="C25" s="98" t="s">
        <v>299</v>
      </c>
      <c r="D25" s="93"/>
    </row>
    <row r="26" spans="1:4" ht="15" customHeight="1" x14ac:dyDescent="0.2">
      <c r="A26" s="97" t="s">
        <v>300</v>
      </c>
      <c r="B26" s="103">
        <f>B6-B7-B17-B18-B19</f>
        <v>8.0695218450112929</v>
      </c>
      <c r="C26" s="97" t="s">
        <v>301</v>
      </c>
      <c r="D26" s="93"/>
    </row>
    <row r="27" spans="1:4" ht="15" customHeight="1" x14ac:dyDescent="0.2">
      <c r="A27" s="104" t="s">
        <v>302</v>
      </c>
      <c r="B27" s="105">
        <f>B7+B26+B17+B18+B19</f>
        <v>25</v>
      </c>
      <c r="C27" s="104" t="s">
        <v>303</v>
      </c>
      <c r="D27" s="93"/>
    </row>
    <row r="28" spans="1:4" ht="15" customHeight="1" x14ac:dyDescent="0.2">
      <c r="A28" s="98"/>
      <c r="B28" s="106"/>
      <c r="C28" s="98"/>
      <c r="D28" s="93"/>
    </row>
    <row r="29" spans="1:4" ht="15" customHeight="1" x14ac:dyDescent="0.2">
      <c r="A29" s="107" t="s">
        <v>304</v>
      </c>
      <c r="B29" s="108"/>
      <c r="C29" s="97"/>
      <c r="D29" s="93"/>
    </row>
    <row r="30" spans="1:4" ht="15" customHeight="1" x14ac:dyDescent="0.2">
      <c r="A30" s="100" t="s">
        <v>305</v>
      </c>
      <c r="B30" s="109"/>
      <c r="C30" s="98"/>
      <c r="D30" s="93"/>
    </row>
    <row r="31" spans="1:4" ht="15" customHeight="1" x14ac:dyDescent="0.2">
      <c r="A31" s="98" t="s">
        <v>306</v>
      </c>
      <c r="B31" s="110">
        <f>1-B10</f>
        <v>0.65</v>
      </c>
      <c r="C31" s="98" t="s">
        <v>307</v>
      </c>
      <c r="D31" s="93"/>
    </row>
    <row r="32" spans="1:4" ht="15" customHeight="1" x14ac:dyDescent="0.2">
      <c r="A32" s="107" t="s">
        <v>308</v>
      </c>
      <c r="B32" s="111"/>
      <c r="C32" s="97"/>
      <c r="D32" s="93"/>
    </row>
    <row r="33" spans="1:4" ht="15" customHeight="1" x14ac:dyDescent="0.2">
      <c r="A33" s="98" t="s">
        <v>309</v>
      </c>
      <c r="B33" s="112">
        <f>B8*B31</f>
        <v>4.0300000000000002E-2</v>
      </c>
      <c r="C33" s="98" t="s">
        <v>310</v>
      </c>
      <c r="D33" s="93"/>
    </row>
    <row r="34" spans="1:4" ht="15" customHeight="1" x14ac:dyDescent="0.2">
      <c r="A34" s="98" t="s">
        <v>311</v>
      </c>
      <c r="B34" s="112">
        <f>B9*B31</f>
        <v>5.0050000000000004E-2</v>
      </c>
      <c r="C34" s="98" t="s">
        <v>310</v>
      </c>
      <c r="D34" s="93"/>
    </row>
    <row r="35" spans="1:4" ht="15" customHeight="1" x14ac:dyDescent="0.2">
      <c r="A35" s="113" t="s">
        <v>312</v>
      </c>
      <c r="B35" s="114"/>
      <c r="C35" s="114"/>
      <c r="D35" s="93"/>
    </row>
    <row r="36" spans="1:4" ht="15" customHeight="1" x14ac:dyDescent="0.2">
      <c r="A36" s="115" t="s">
        <v>313</v>
      </c>
      <c r="B36" s="116">
        <f>B33*B11</f>
        <v>3.1957900000000004E-2</v>
      </c>
      <c r="C36" s="97" t="s">
        <v>314</v>
      </c>
      <c r="D36" s="93"/>
    </row>
    <row r="37" spans="1:4" ht="15" customHeight="1" x14ac:dyDescent="0.2">
      <c r="A37" s="98" t="s">
        <v>315</v>
      </c>
      <c r="B37" s="117">
        <f>B34*B11</f>
        <v>3.9689650000000007E-2</v>
      </c>
      <c r="C37" s="98" t="s">
        <v>314</v>
      </c>
      <c r="D37" s="93"/>
    </row>
    <row r="38" spans="1:4" ht="15" customHeight="1" x14ac:dyDescent="0.2">
      <c r="A38" s="100" t="s">
        <v>316</v>
      </c>
      <c r="B38" s="118"/>
      <c r="C38" s="98"/>
      <c r="D38" s="93"/>
    </row>
    <row r="39" spans="1:4" ht="15" customHeight="1" x14ac:dyDescent="0.2">
      <c r="A39" s="98" t="s">
        <v>317</v>
      </c>
      <c r="B39" s="118">
        <f>B7/B37</f>
        <v>251.95485472912958</v>
      </c>
      <c r="C39" s="98" t="s">
        <v>318</v>
      </c>
      <c r="D39" s="93"/>
    </row>
    <row r="40" spans="1:4" ht="15" customHeight="1" x14ac:dyDescent="0.2">
      <c r="A40" s="98" t="s">
        <v>319</v>
      </c>
      <c r="B40" s="109">
        <f>B7/B36</f>
        <v>312.91167442166096</v>
      </c>
      <c r="C40" s="98" t="s">
        <v>320</v>
      </c>
      <c r="D40" s="93"/>
    </row>
    <row r="41" spans="1:4" ht="15" customHeight="1" x14ac:dyDescent="0.2">
      <c r="A41" s="100" t="s">
        <v>321</v>
      </c>
      <c r="B41" s="109"/>
      <c r="C41" s="98"/>
      <c r="D41" s="93"/>
    </row>
    <row r="42" spans="1:4" ht="15" customHeight="1" x14ac:dyDescent="0.2">
      <c r="A42" s="98" t="s">
        <v>322</v>
      </c>
      <c r="B42" s="109">
        <f>B39/B12</f>
        <v>629.88713682282389</v>
      </c>
      <c r="C42" s="98" t="s">
        <v>323</v>
      </c>
      <c r="D42" s="93"/>
    </row>
    <row r="43" spans="1:4" ht="15" customHeight="1" x14ac:dyDescent="0.2">
      <c r="A43" s="93" t="s">
        <v>324</v>
      </c>
      <c r="B43" s="111">
        <f>B40/B12</f>
        <v>782.27918605415232</v>
      </c>
      <c r="C43" s="93" t="s">
        <v>323</v>
      </c>
      <c r="D43" s="93"/>
    </row>
    <row r="44" spans="1:4" ht="15" customHeight="1" x14ac:dyDescent="0.2">
      <c r="A44" s="98"/>
      <c r="B44" s="109"/>
      <c r="C44" s="98"/>
      <c r="D44" s="93"/>
    </row>
    <row r="45" spans="1:4" ht="15" customHeight="1" x14ac:dyDescent="0.2">
      <c r="A45" s="100" t="s">
        <v>325</v>
      </c>
      <c r="B45" s="109"/>
      <c r="C45" s="98"/>
      <c r="D45" s="93"/>
    </row>
    <row r="46" spans="1:4" ht="15" customHeight="1" x14ac:dyDescent="0.2">
      <c r="A46" s="98" t="s">
        <v>326</v>
      </c>
      <c r="B46" s="109">
        <f>AVERAGE(B39,B40)</f>
        <v>282.43326457539524</v>
      </c>
      <c r="C46" s="98" t="s">
        <v>327</v>
      </c>
      <c r="D46" s="93"/>
    </row>
    <row r="47" spans="1:4" ht="15" customHeight="1" x14ac:dyDescent="0.2">
      <c r="A47" s="93" t="s">
        <v>328</v>
      </c>
      <c r="B47" s="119">
        <f>B20</f>
        <v>5</v>
      </c>
      <c r="C47" s="93"/>
      <c r="D47" s="93"/>
    </row>
    <row r="48" spans="1:4" ht="15" customHeight="1" x14ac:dyDescent="0.2">
      <c r="A48" s="98" t="s">
        <v>329</v>
      </c>
      <c r="B48" s="120">
        <f>10-B20</f>
        <v>5</v>
      </c>
      <c r="C48" s="98"/>
      <c r="D48" s="93"/>
    </row>
    <row r="49" spans="1:4" ht="15" customHeight="1" x14ac:dyDescent="0.2">
      <c r="A49" s="98" t="s">
        <v>330</v>
      </c>
      <c r="B49" s="101">
        <f>B47*0.5</f>
        <v>2.5</v>
      </c>
      <c r="C49" s="98" t="s">
        <v>331</v>
      </c>
      <c r="D49" s="93"/>
    </row>
    <row r="50" spans="1:4" ht="15" customHeight="1" x14ac:dyDescent="0.2">
      <c r="A50" s="121" t="s">
        <v>332</v>
      </c>
      <c r="B50" s="122">
        <f>B48</f>
        <v>5</v>
      </c>
      <c r="C50" s="121"/>
      <c r="D50" s="93"/>
    </row>
    <row r="51" spans="1:4" ht="15" customHeight="1" x14ac:dyDescent="0.2">
      <c r="A51" s="98" t="s">
        <v>333</v>
      </c>
      <c r="B51" s="123">
        <f>B49+B50</f>
        <v>7.5</v>
      </c>
      <c r="C51" s="98"/>
      <c r="D51" s="93"/>
    </row>
    <row r="52" spans="1:4" ht="15" customHeight="1" x14ac:dyDescent="0.2">
      <c r="A52" s="124" t="s">
        <v>334</v>
      </c>
      <c r="B52" s="125">
        <f>B46*B51/10</f>
        <v>211.82494843154646</v>
      </c>
      <c r="C52" s="98" t="s">
        <v>335</v>
      </c>
      <c r="D52" s="93"/>
    </row>
    <row r="53" spans="1:4" ht="15" customHeight="1" x14ac:dyDescent="0.2">
      <c r="A53" s="126"/>
      <c r="B53" s="111"/>
      <c r="C53" s="93"/>
      <c r="D53" s="93"/>
    </row>
    <row r="54" spans="1:4" ht="15" customHeight="1" x14ac:dyDescent="0.2">
      <c r="A54" s="93" t="s">
        <v>336</v>
      </c>
      <c r="B54" s="127">
        <f>B52*B13</f>
        <v>0.84729979372618591</v>
      </c>
      <c r="C54" s="93" t="s">
        <v>337</v>
      </c>
      <c r="D54" s="93"/>
    </row>
    <row r="55" spans="1:4" ht="15" customHeight="1" x14ac:dyDescent="0.2">
      <c r="A55" s="121" t="s">
        <v>338</v>
      </c>
      <c r="B55" s="128">
        <f>B52*B14</f>
        <v>0.31773742264731969</v>
      </c>
      <c r="C55" s="114" t="s">
        <v>339</v>
      </c>
      <c r="D55" s="93"/>
    </row>
    <row r="56" spans="1:4" ht="15" customHeight="1" x14ac:dyDescent="0.2">
      <c r="A56" s="98" t="s">
        <v>340</v>
      </c>
      <c r="B56" s="128">
        <f>B52*B15*B16</f>
        <v>6.7783983498094877E-2</v>
      </c>
      <c r="C56" s="93" t="s">
        <v>341</v>
      </c>
      <c r="D56" s="93"/>
    </row>
    <row r="57" spans="1:4" ht="15" customHeight="1" x14ac:dyDescent="0.2">
      <c r="A57" s="98" t="s">
        <v>342</v>
      </c>
      <c r="B57" s="128">
        <f>B54+B55+B56</f>
        <v>1.2328211998716005</v>
      </c>
      <c r="C57" s="93"/>
      <c r="D57" s="93"/>
    </row>
    <row r="58" spans="1:4" ht="15" customHeight="1" x14ac:dyDescent="0.2">
      <c r="A58" s="98" t="s">
        <v>343</v>
      </c>
      <c r="B58" s="118">
        <f>B57*10</f>
        <v>12.328211998716005</v>
      </c>
      <c r="C58" s="93"/>
      <c r="D58" s="93"/>
    </row>
    <row r="59" spans="1:4" ht="15" customHeight="1" x14ac:dyDescent="0.2">
      <c r="A59" s="98"/>
      <c r="B59" s="118"/>
      <c r="C59" s="93"/>
      <c r="D59" s="93"/>
    </row>
    <row r="60" spans="1:4" ht="15" customHeight="1" x14ac:dyDescent="0.2">
      <c r="A60" s="100" t="s">
        <v>344</v>
      </c>
      <c r="B60" s="118"/>
      <c r="C60" s="93"/>
      <c r="D60" s="93"/>
    </row>
    <row r="61" spans="1:4" ht="15" customHeight="1" x14ac:dyDescent="0.2">
      <c r="A61" s="93" t="s">
        <v>345</v>
      </c>
      <c r="B61" s="111">
        <f>B25*10</f>
        <v>2.2999999999999998</v>
      </c>
      <c r="C61" s="93" t="s">
        <v>346</v>
      </c>
      <c r="D61" s="93"/>
    </row>
    <row r="62" spans="1:4" ht="15" customHeight="1" x14ac:dyDescent="0.2">
      <c r="A62" s="93" t="s">
        <v>347</v>
      </c>
      <c r="B62" s="111">
        <f>AVERAGE(B33,B34)*AVERAGE(B39,B40)*B11</f>
        <v>10.117825722664431</v>
      </c>
      <c r="C62" s="93" t="s">
        <v>348</v>
      </c>
      <c r="D62" s="93"/>
    </row>
    <row r="63" spans="1:4" ht="15" customHeight="1" x14ac:dyDescent="0.2">
      <c r="A63" s="93" t="s">
        <v>349</v>
      </c>
      <c r="B63" s="92">
        <f>B26</f>
        <v>8.0695218450112929</v>
      </c>
      <c r="C63" s="93" t="s">
        <v>350</v>
      </c>
      <c r="D63" s="93"/>
    </row>
    <row r="64" spans="1:4" ht="15" customHeight="1" x14ac:dyDescent="0.2">
      <c r="A64" s="93" t="s">
        <v>351</v>
      </c>
      <c r="B64" s="129">
        <f>B61+B62+B63</f>
        <v>20.487347567675727</v>
      </c>
      <c r="C64" s="93" t="s">
        <v>352</v>
      </c>
      <c r="D64" s="93"/>
    </row>
    <row r="65" spans="1:4" ht="15" customHeight="1" x14ac:dyDescent="0.2">
      <c r="A65" s="93"/>
      <c r="B65" s="93"/>
      <c r="C65" s="93"/>
      <c r="D65" s="93"/>
    </row>
    <row r="66" spans="1:4" ht="15" customHeight="1" x14ac:dyDescent="0.2">
      <c r="A66" s="17" t="s">
        <v>353</v>
      </c>
      <c r="B66" s="130"/>
      <c r="C66" s="93"/>
      <c r="D66" s="93"/>
    </row>
    <row r="67" spans="1:4" ht="15" customHeight="1" x14ac:dyDescent="0.2">
      <c r="A67" s="93" t="s">
        <v>354</v>
      </c>
      <c r="B67" s="130">
        <f>B21</f>
        <v>0.02</v>
      </c>
      <c r="C67" s="93" t="s">
        <v>355</v>
      </c>
      <c r="D67" s="93"/>
    </row>
    <row r="68" spans="1:4" ht="15" customHeight="1" x14ac:dyDescent="0.2">
      <c r="A68" s="93" t="s">
        <v>356</v>
      </c>
      <c r="B68" s="119">
        <f>B22</f>
        <v>7</v>
      </c>
      <c r="C68" s="93" t="s">
        <v>357</v>
      </c>
      <c r="D68" s="93"/>
    </row>
    <row r="69" spans="1:4" ht="15" customHeight="1" x14ac:dyDescent="0.2">
      <c r="A69" s="93"/>
      <c r="B69" s="93"/>
      <c r="C69" s="93"/>
      <c r="D69" s="93"/>
    </row>
    <row r="70" spans="1:4" ht="15" customHeight="1" x14ac:dyDescent="0.2">
      <c r="A70" s="93" t="s">
        <v>358</v>
      </c>
      <c r="B70" s="111">
        <f>B46*(10/B22)</f>
        <v>403.47609225056465</v>
      </c>
      <c r="C70" s="93" t="s">
        <v>359</v>
      </c>
      <c r="D70" s="93"/>
    </row>
    <row r="71" spans="1:4" ht="15" customHeight="1" x14ac:dyDescent="0.2">
      <c r="A71" s="131" t="s">
        <v>360</v>
      </c>
      <c r="B71" s="93"/>
      <c r="C71" s="93"/>
      <c r="D71" s="93"/>
    </row>
    <row r="72" spans="1:4" ht="15" customHeight="1" x14ac:dyDescent="0.2">
      <c r="A72" s="93"/>
      <c r="B72" s="130"/>
      <c r="C72" s="93"/>
      <c r="D72" s="93"/>
    </row>
    <row r="73" spans="1:4" ht="15" customHeight="1" x14ac:dyDescent="0.2">
      <c r="A73" s="93" t="s">
        <v>361</v>
      </c>
      <c r="B73" s="132">
        <f>B70*B21</f>
        <v>8.0695218450112929</v>
      </c>
      <c r="C73" s="93" t="s">
        <v>362</v>
      </c>
      <c r="D73" s="93"/>
    </row>
    <row r="74" spans="1:4" ht="15" customHeight="1" x14ac:dyDescent="0.2">
      <c r="A74" s="93"/>
      <c r="B74" s="133"/>
      <c r="C74" s="93"/>
      <c r="D74" s="93"/>
    </row>
    <row r="75" spans="1:4" ht="15" customHeight="1" x14ac:dyDescent="0.2">
      <c r="A75" s="93" t="s">
        <v>363</v>
      </c>
      <c r="B75" s="92">
        <f>B26</f>
        <v>8.0695218450112929</v>
      </c>
      <c r="C75" s="93" t="s">
        <v>364</v>
      </c>
      <c r="D75" s="93"/>
    </row>
    <row r="76" spans="1:4" ht="15" customHeight="1" x14ac:dyDescent="0.2">
      <c r="A76" s="93" t="s">
        <v>365</v>
      </c>
      <c r="B76" s="134">
        <f>B75/B73</f>
        <v>1</v>
      </c>
      <c r="C76" s="93" t="s">
        <v>366</v>
      </c>
      <c r="D76" s="93"/>
    </row>
    <row r="77" spans="1:4" ht="15" customHeight="1" x14ac:dyDescent="0.2">
      <c r="A77" s="93" t="s">
        <v>367</v>
      </c>
      <c r="B77" s="132">
        <f>B75-B73</f>
        <v>0</v>
      </c>
      <c r="C77" s="93" t="s">
        <v>368</v>
      </c>
      <c r="D77" s="93"/>
    </row>
    <row r="78" spans="1:4" ht="15" customHeight="1" x14ac:dyDescent="0.2">
      <c r="A78" s="93"/>
      <c r="B78" s="93"/>
      <c r="C78" s="93"/>
      <c r="D78" s="93"/>
    </row>
    <row r="79" spans="1:4" ht="15" customHeight="1" x14ac:dyDescent="0.2">
      <c r="A79" s="17" t="s">
        <v>369</v>
      </c>
      <c r="B79" s="93"/>
      <c r="C79" s="93"/>
      <c r="D79" s="93"/>
    </row>
    <row r="80" spans="1:4" ht="15" customHeight="1" x14ac:dyDescent="0.2">
      <c r="A80" s="93" t="s">
        <v>370</v>
      </c>
      <c r="B80" s="111">
        <f>B26/B21</f>
        <v>403.47609225056465</v>
      </c>
      <c r="C80" s="93" t="s">
        <v>371</v>
      </c>
      <c r="D80" s="93"/>
    </row>
    <row r="81" spans="1:4" ht="15" customHeight="1" x14ac:dyDescent="0.2">
      <c r="A81" s="93" t="s">
        <v>372</v>
      </c>
      <c r="B81" s="111">
        <f>B46</f>
        <v>282.43326457539524</v>
      </c>
      <c r="C81" s="93"/>
      <c r="D81" s="93"/>
    </row>
    <row r="82" spans="1:4" ht="15" customHeight="1" x14ac:dyDescent="0.2">
      <c r="A82" s="93" t="s">
        <v>373</v>
      </c>
      <c r="B82" s="108">
        <f>B80/B81</f>
        <v>1.4285714285714286</v>
      </c>
      <c r="C82" s="93" t="s">
        <v>374</v>
      </c>
      <c r="D82" s="93"/>
    </row>
    <row r="83" spans="1:4" ht="15" customHeight="1" x14ac:dyDescent="0.2">
      <c r="A83" s="93" t="s">
        <v>375</v>
      </c>
      <c r="B83" s="135">
        <f>B80/B46*B22</f>
        <v>10</v>
      </c>
      <c r="C83" s="93" t="s">
        <v>376</v>
      </c>
      <c r="D83" s="93"/>
    </row>
    <row r="84" spans="1:4" ht="15" customHeight="1" x14ac:dyDescent="0.2">
      <c r="A84" s="93"/>
      <c r="B84" s="135"/>
      <c r="C84" s="93"/>
      <c r="D84" s="93"/>
    </row>
    <row r="85" spans="1:4" ht="15" customHeight="1" x14ac:dyDescent="0.2">
      <c r="A85" s="17" t="s">
        <v>377</v>
      </c>
      <c r="B85" s="111"/>
      <c r="C85" s="93"/>
      <c r="D85" s="93"/>
    </row>
    <row r="86" spans="1:4" ht="15" customHeight="1" x14ac:dyDescent="0.2">
      <c r="A86" s="93" t="s">
        <v>378</v>
      </c>
      <c r="B86" s="136">
        <f>B6</f>
        <v>25</v>
      </c>
      <c r="C86" s="93"/>
      <c r="D86" s="93"/>
    </row>
    <row r="87" spans="1:4" ht="15" customHeight="1" x14ac:dyDescent="0.2">
      <c r="A87" s="93" t="s">
        <v>379</v>
      </c>
      <c r="B87" s="111">
        <f>-B58</f>
        <v>-12.328211998716005</v>
      </c>
      <c r="C87" s="93"/>
      <c r="D87" s="93"/>
    </row>
    <row r="88" spans="1:4" ht="15" customHeight="1" x14ac:dyDescent="0.2">
      <c r="A88" s="93" t="s">
        <v>380</v>
      </c>
      <c r="B88" s="132">
        <f>B86+B87</f>
        <v>12.671788001283995</v>
      </c>
      <c r="C88" s="93" t="s">
        <v>381</v>
      </c>
      <c r="D88" s="93"/>
    </row>
    <row r="89" spans="1:4" ht="15" customHeight="1" x14ac:dyDescent="0.2">
      <c r="A89" s="93"/>
      <c r="B89" s="93"/>
      <c r="C89" s="93"/>
      <c r="D89" s="93"/>
    </row>
    <row r="90" spans="1:4" ht="15" customHeight="1" x14ac:dyDescent="0.2">
      <c r="A90" s="131" t="s">
        <v>382</v>
      </c>
      <c r="B90" s="137">
        <f>B64</f>
        <v>20.487347567675727</v>
      </c>
      <c r="C90" s="131" t="s">
        <v>383</v>
      </c>
      <c r="D90" s="93"/>
    </row>
    <row r="91" spans="1:4" ht="15" customHeight="1" x14ac:dyDescent="0.2">
      <c r="A91" s="131" t="s">
        <v>384</v>
      </c>
      <c r="B91" s="138">
        <f>B6-B90</f>
        <v>4.5126524323242734</v>
      </c>
      <c r="C91" s="93"/>
      <c r="D91" s="93"/>
    </row>
    <row r="92" spans="1:4" ht="15" customHeight="1" x14ac:dyDescent="0.2">
      <c r="A92" s="131" t="s">
        <v>385</v>
      </c>
      <c r="B92" s="138">
        <f>B19</f>
        <v>4.6304781549887064</v>
      </c>
      <c r="C92" s="93"/>
      <c r="D92" s="93"/>
    </row>
    <row r="93" spans="1:4" ht="15" customHeight="1" x14ac:dyDescent="0.2">
      <c r="A93" s="131" t="s">
        <v>386</v>
      </c>
      <c r="B93" s="133"/>
      <c r="C93" s="93"/>
      <c r="D93" s="93"/>
    </row>
    <row r="94" spans="1:4" ht="15" customHeight="1" x14ac:dyDescent="0.2">
      <c r="A94" s="131" t="s">
        <v>387</v>
      </c>
      <c r="B94" s="111"/>
      <c r="C94" s="93"/>
      <c r="D94" s="93"/>
    </row>
    <row r="95" spans="1:4" ht="15" customHeight="1" x14ac:dyDescent="0.2">
      <c r="A95" s="93"/>
      <c r="B95" s="93"/>
      <c r="C95" s="93"/>
      <c r="D95" s="93"/>
    </row>
    <row r="96" spans="1:4" ht="15" customHeight="1" x14ac:dyDescent="0.2">
      <c r="A96" s="17" t="s">
        <v>213</v>
      </c>
      <c r="B96" s="93"/>
      <c r="C96" s="93"/>
      <c r="D96" s="93"/>
    </row>
    <row r="97" spans="1:4" ht="15" customHeight="1" x14ac:dyDescent="0.2">
      <c r="A97" s="93" t="s">
        <v>388</v>
      </c>
      <c r="B97" s="136">
        <f>B6</f>
        <v>25</v>
      </c>
      <c r="C97" s="93"/>
      <c r="D97" s="93"/>
    </row>
    <row r="98" spans="1:4" ht="15" customHeight="1" x14ac:dyDescent="0.2">
      <c r="A98" s="93" t="s">
        <v>389</v>
      </c>
      <c r="B98" s="92">
        <f>B88</f>
        <v>12.671788001283995</v>
      </c>
      <c r="C98" s="93"/>
      <c r="D98" s="93"/>
    </row>
    <row r="99" spans="1:4" ht="15" customHeight="1" x14ac:dyDescent="0.2">
      <c r="A99" s="93" t="s">
        <v>343</v>
      </c>
      <c r="B99" s="111">
        <f>B58</f>
        <v>12.328211998716005</v>
      </c>
      <c r="C99" s="93"/>
      <c r="D99" s="93"/>
    </row>
    <row r="100" spans="1:4" ht="15" customHeight="1" x14ac:dyDescent="0.2">
      <c r="A100" s="93" t="s">
        <v>390</v>
      </c>
      <c r="B100" s="111">
        <f>AVERAGE(B39,B40)</f>
        <v>282.43326457539524</v>
      </c>
      <c r="C100" s="93"/>
      <c r="D100" s="93"/>
    </row>
    <row r="101" spans="1:4" ht="15" customHeight="1" x14ac:dyDescent="0.2">
      <c r="A101" s="93" t="s">
        <v>391</v>
      </c>
      <c r="B101" s="111">
        <f>AVERAGE(B42,B43)</f>
        <v>706.0831614384881</v>
      </c>
      <c r="C101" s="93"/>
      <c r="D101" s="93"/>
    </row>
    <row r="102" spans="1:4" ht="15" customHeight="1" x14ac:dyDescent="0.2">
      <c r="A102" s="93" t="s">
        <v>392</v>
      </c>
      <c r="B102" s="108">
        <f>B76</f>
        <v>1</v>
      </c>
      <c r="C102" s="93"/>
      <c r="D102" s="93"/>
    </row>
    <row r="103" spans="1:4" ht="15" customHeight="1" x14ac:dyDescent="0.2">
      <c r="A103" s="93"/>
      <c r="B103" s="93"/>
      <c r="C103" s="93"/>
      <c r="D103" s="93"/>
    </row>
    <row r="104" spans="1:4" ht="15" customHeight="1" x14ac:dyDescent="0.2">
      <c r="A104" s="17" t="s">
        <v>393</v>
      </c>
      <c r="B104" s="92">
        <f>B100*B11*B31*0.01</f>
        <v>1.4558022622538749</v>
      </c>
      <c r="C104" s="93" t="s">
        <v>394</v>
      </c>
      <c r="D104" s="93"/>
    </row>
    <row r="105" spans="1:4" ht="15" customHeight="1" x14ac:dyDescent="0.2">
      <c r="A105" s="131" t="s">
        <v>395</v>
      </c>
      <c r="B105" s="139">
        <f>B7/B104</f>
        <v>6.8690647482014402</v>
      </c>
      <c r="C105" s="93"/>
      <c r="D105" s="93"/>
    </row>
    <row r="106" spans="1:4" ht="15" customHeight="1" x14ac:dyDescent="0.2">
      <c r="A106" s="131" t="s">
        <v>396</v>
      </c>
      <c r="B106" s="139">
        <f>B19/B104</f>
        <v>3.1807054261749768</v>
      </c>
      <c r="C106" s="131" t="s">
        <v>397</v>
      </c>
      <c r="D106" s="93"/>
    </row>
    <row r="107" spans="1:4" ht="15" customHeight="1" x14ac:dyDescent="0.2">
      <c r="A107" s="93"/>
      <c r="B107" s="93"/>
      <c r="C107" s="93"/>
      <c r="D107" s="93"/>
    </row>
    <row r="108" spans="1:4" ht="15" customHeight="1" x14ac:dyDescent="0.2">
      <c r="A108" s="93"/>
      <c r="B108" s="93"/>
      <c r="C108" s="93"/>
      <c r="D108" s="93"/>
    </row>
    <row r="109" spans="1:4" ht="15" customHeight="1" x14ac:dyDescent="0.2">
      <c r="A109" s="93"/>
      <c r="B109" s="93"/>
      <c r="C109" s="93"/>
      <c r="D109" s="93"/>
    </row>
  </sheetData>
  <pageMargins left="0.75" right="0.75" top="1" bottom="1" header="0.511811023622047" footer="0.511811023622047"/>
  <pageSetup paperSize="9" orientation="portrait" horizontalDpi="300" verticalDpi="30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030A0"/>
  </sheetPr>
  <dimension ref="A1:D82"/>
  <sheetViews>
    <sheetView topLeftCell="A8" zoomScaleNormal="100" workbookViewId="0"/>
  </sheetViews>
  <sheetFormatPr baseColWidth="10" defaultColWidth="8.6640625" defaultRowHeight="15" x14ac:dyDescent="0.2"/>
  <cols>
    <col min="1" max="1" width="40" customWidth="1"/>
    <col min="2" max="3" width="16" customWidth="1"/>
    <col min="4" max="4" width="20" customWidth="1"/>
  </cols>
  <sheetData>
    <row r="1" spans="1:4" ht="19.5" customHeight="1" x14ac:dyDescent="0.2">
      <c r="A1" s="26" t="s">
        <v>398</v>
      </c>
    </row>
    <row r="2" spans="1:4" ht="15" customHeight="1" x14ac:dyDescent="0.2">
      <c r="A2" s="7" t="s">
        <v>399</v>
      </c>
    </row>
    <row r="4" spans="1:4" ht="15.75" customHeight="1" x14ac:dyDescent="0.2">
      <c r="A4" s="8" t="s">
        <v>184</v>
      </c>
    </row>
    <row r="5" spans="1:4" ht="15" customHeight="1" x14ac:dyDescent="0.2">
      <c r="A5" s="11" t="s">
        <v>48</v>
      </c>
      <c r="B5" s="11" t="s">
        <v>185</v>
      </c>
      <c r="C5" s="11" t="s">
        <v>186</v>
      </c>
      <c r="D5" s="11" t="s">
        <v>187</v>
      </c>
    </row>
    <row r="6" spans="1:4" ht="15" customHeight="1" x14ac:dyDescent="0.2">
      <c r="A6" s="12" t="s">
        <v>400</v>
      </c>
      <c r="B6" s="34">
        <v>250</v>
      </c>
      <c r="C6" s="84">
        <v>250</v>
      </c>
      <c r="D6" s="30" t="s">
        <v>401</v>
      </c>
    </row>
    <row r="7" spans="1:4" ht="15" customHeight="1" x14ac:dyDescent="0.2">
      <c r="A7" s="12" t="s">
        <v>402</v>
      </c>
      <c r="B7" s="36">
        <v>1</v>
      </c>
      <c r="C7" s="81">
        <v>1</v>
      </c>
      <c r="D7" s="30" t="s">
        <v>403</v>
      </c>
    </row>
    <row r="8" spans="1:4" ht="15" customHeight="1" x14ac:dyDescent="0.2">
      <c r="A8" s="12" t="s">
        <v>404</v>
      </c>
      <c r="B8" s="34">
        <v>250</v>
      </c>
      <c r="C8" s="84">
        <v>250</v>
      </c>
      <c r="D8" s="30" t="s">
        <v>405</v>
      </c>
    </row>
    <row r="9" spans="1:4" ht="15" customHeight="1" x14ac:dyDescent="0.2">
      <c r="A9" s="12" t="s">
        <v>406</v>
      </c>
      <c r="B9" s="140">
        <v>10</v>
      </c>
      <c r="C9" s="90">
        <v>10</v>
      </c>
      <c r="D9" s="30" t="s">
        <v>407</v>
      </c>
    </row>
    <row r="10" spans="1:4" ht="15" customHeight="1" x14ac:dyDescent="0.2">
      <c r="A10" s="12" t="s">
        <v>408</v>
      </c>
      <c r="B10" s="33">
        <v>3.5</v>
      </c>
      <c r="C10" s="88">
        <v>3.5</v>
      </c>
      <c r="D10" s="30" t="s">
        <v>409</v>
      </c>
    </row>
    <row r="11" spans="1:4" ht="15" customHeight="1" x14ac:dyDescent="0.2">
      <c r="A11" s="12" t="s">
        <v>410</v>
      </c>
      <c r="B11" s="141">
        <v>125000</v>
      </c>
      <c r="C11" s="84">
        <v>125000</v>
      </c>
      <c r="D11" s="30" t="s">
        <v>411</v>
      </c>
    </row>
    <row r="12" spans="1:4" ht="15" customHeight="1" x14ac:dyDescent="0.2">
      <c r="A12" s="12" t="s">
        <v>412</v>
      </c>
      <c r="B12" s="86">
        <v>0.03</v>
      </c>
      <c r="C12" s="81">
        <v>0.04</v>
      </c>
      <c r="D12" s="30" t="s">
        <v>413</v>
      </c>
    </row>
    <row r="13" spans="1:4" ht="15" customHeight="1" x14ac:dyDescent="0.2">
      <c r="A13" s="12" t="s">
        <v>414</v>
      </c>
      <c r="B13" s="86">
        <v>0.08</v>
      </c>
      <c r="C13" s="81">
        <v>0.12</v>
      </c>
      <c r="D13" s="30" t="s">
        <v>415</v>
      </c>
    </row>
    <row r="14" spans="1:4" ht="15" customHeight="1" x14ac:dyDescent="0.2">
      <c r="A14" s="12" t="s">
        <v>416</v>
      </c>
      <c r="B14" s="142">
        <v>2.5000000000000001E-2</v>
      </c>
      <c r="C14" s="81">
        <v>3.2000000000000001E-2</v>
      </c>
      <c r="D14" s="30" t="s">
        <v>417</v>
      </c>
    </row>
    <row r="15" spans="1:4" ht="15" customHeight="1" x14ac:dyDescent="0.2">
      <c r="A15" s="12" t="s">
        <v>418</v>
      </c>
      <c r="B15" s="86">
        <v>0.04</v>
      </c>
      <c r="C15" s="81">
        <v>5.6000000000000001E-2</v>
      </c>
      <c r="D15" s="30" t="s">
        <v>419</v>
      </c>
    </row>
    <row r="16" spans="1:4" ht="15" customHeight="1" x14ac:dyDescent="0.2">
      <c r="A16" s="12" t="s">
        <v>420</v>
      </c>
      <c r="B16" s="89">
        <v>5</v>
      </c>
      <c r="C16" s="88">
        <v>1</v>
      </c>
      <c r="D16" s="30" t="s">
        <v>421</v>
      </c>
    </row>
    <row r="17" spans="1:4" ht="15" customHeight="1" x14ac:dyDescent="0.2">
      <c r="A17" s="12" t="s">
        <v>422</v>
      </c>
      <c r="B17" s="89">
        <v>5</v>
      </c>
      <c r="C17" s="88">
        <v>2</v>
      </c>
      <c r="D17" s="30" t="s">
        <v>423</v>
      </c>
    </row>
    <row r="18" spans="1:4" ht="15" customHeight="1" x14ac:dyDescent="0.2">
      <c r="A18" s="93" t="s">
        <v>424</v>
      </c>
      <c r="B18" s="143">
        <v>0.08</v>
      </c>
      <c r="C18">
        <v>0.08</v>
      </c>
      <c r="D18" t="s">
        <v>425</v>
      </c>
    </row>
    <row r="19" spans="1:4" ht="15" customHeight="1" x14ac:dyDescent="0.2">
      <c r="A19" s="131" t="s">
        <v>426</v>
      </c>
    </row>
    <row r="20" spans="1:4" ht="15.75" customHeight="1" x14ac:dyDescent="0.2">
      <c r="A20" s="8" t="s">
        <v>304</v>
      </c>
    </row>
    <row r="21" spans="1:4" ht="15" customHeight="1" x14ac:dyDescent="0.2">
      <c r="A21" s="12" t="s">
        <v>427</v>
      </c>
      <c r="B21" s="144">
        <f>B11*B12*B16/1000</f>
        <v>18.75</v>
      </c>
    </row>
    <row r="22" spans="1:4" ht="15" customHeight="1" x14ac:dyDescent="0.2">
      <c r="A22" s="12" t="s">
        <v>428</v>
      </c>
      <c r="B22" s="53">
        <f>B11*B13*B16/1000</f>
        <v>50</v>
      </c>
    </row>
    <row r="23" spans="1:4" ht="15" customHeight="1" x14ac:dyDescent="0.2">
      <c r="A23" s="12" t="s">
        <v>429</v>
      </c>
      <c r="B23" s="144">
        <f>B11*B14*B17/1000</f>
        <v>15.625</v>
      </c>
    </row>
    <row r="24" spans="1:4" ht="15" customHeight="1" x14ac:dyDescent="0.2">
      <c r="A24" s="12" t="s">
        <v>430</v>
      </c>
      <c r="B24" s="53">
        <f>B11*B15*B17/1000</f>
        <v>25</v>
      </c>
    </row>
    <row r="25" spans="1:4" ht="15" customHeight="1" x14ac:dyDescent="0.2">
      <c r="A25" s="98" t="s">
        <v>431</v>
      </c>
      <c r="B25" s="102">
        <f>-B18*MIN(B22,B24)</f>
        <v>-2</v>
      </c>
    </row>
    <row r="26" spans="1:4" ht="15" customHeight="1" x14ac:dyDescent="0.2">
      <c r="A26" s="100" t="s">
        <v>432</v>
      </c>
      <c r="B26" s="145">
        <f>B21+B23+B18*MIN(B21,B23)</f>
        <v>35.625</v>
      </c>
    </row>
    <row r="27" spans="1:4" ht="15" customHeight="1" x14ac:dyDescent="0.2">
      <c r="A27" s="100" t="s">
        <v>433</v>
      </c>
      <c r="B27" s="53">
        <f>B22+B24+B25</f>
        <v>73</v>
      </c>
    </row>
    <row r="28" spans="1:4" ht="15" customHeight="1" x14ac:dyDescent="0.2">
      <c r="A28" s="131" t="s">
        <v>434</v>
      </c>
      <c r="B28" s="138">
        <f>B18*MIN(B21,B23)</f>
        <v>1.25</v>
      </c>
    </row>
    <row r="29" spans="1:4" ht="15" customHeight="1" x14ac:dyDescent="0.2">
      <c r="A29" s="73" t="s">
        <v>213</v>
      </c>
      <c r="B29" s="74"/>
      <c r="C29" s="74"/>
    </row>
    <row r="30" spans="1:4" ht="15" customHeight="1" x14ac:dyDescent="0.2">
      <c r="A30" s="12" t="s">
        <v>435</v>
      </c>
      <c r="B30" s="75">
        <f>B26</f>
        <v>35.625</v>
      </c>
    </row>
    <row r="31" spans="1:4" ht="15" customHeight="1" x14ac:dyDescent="0.2">
      <c r="A31" s="12" t="s">
        <v>436</v>
      </c>
      <c r="B31" s="75">
        <f>B27</f>
        <v>73</v>
      </c>
    </row>
    <row r="33" spans="1:1" ht="15" customHeight="1" x14ac:dyDescent="0.2">
      <c r="A33" s="17" t="s">
        <v>437</v>
      </c>
    </row>
    <row r="35" spans="1:1" ht="15" customHeight="1" x14ac:dyDescent="0.2">
      <c r="A35" s="17" t="s">
        <v>438</v>
      </c>
    </row>
    <row r="36" spans="1:1" ht="15" customHeight="1" x14ac:dyDescent="0.2">
      <c r="A36" s="93" t="s">
        <v>439</v>
      </c>
    </row>
    <row r="37" spans="1:1" ht="15" customHeight="1" x14ac:dyDescent="0.2">
      <c r="A37" s="93" t="s">
        <v>440</v>
      </c>
    </row>
    <row r="38" spans="1:1" ht="15" customHeight="1" x14ac:dyDescent="0.2">
      <c r="A38" s="93" t="s">
        <v>441</v>
      </c>
    </row>
    <row r="39" spans="1:1" ht="15" customHeight="1" x14ac:dyDescent="0.2">
      <c r="A39" s="93" t="s">
        <v>442</v>
      </c>
    </row>
    <row r="40" spans="1:1" ht="15" customHeight="1" x14ac:dyDescent="0.2">
      <c r="A40" s="93" t="s">
        <v>443</v>
      </c>
    </row>
    <row r="41" spans="1:1" ht="15" customHeight="1" x14ac:dyDescent="0.2">
      <c r="A41" s="93" t="s">
        <v>444</v>
      </c>
    </row>
    <row r="42" spans="1:1" ht="15" customHeight="1" x14ac:dyDescent="0.2">
      <c r="A42" s="93" t="s">
        <v>445</v>
      </c>
    </row>
    <row r="44" spans="1:1" ht="15" customHeight="1" x14ac:dyDescent="0.2">
      <c r="A44" s="17" t="s">
        <v>446</v>
      </c>
    </row>
    <row r="45" spans="1:1" ht="15" customHeight="1" x14ac:dyDescent="0.2">
      <c r="A45" s="93" t="s">
        <v>447</v>
      </c>
    </row>
    <row r="46" spans="1:1" ht="15" customHeight="1" x14ac:dyDescent="0.2">
      <c r="A46" s="93" t="s">
        <v>448</v>
      </c>
    </row>
    <row r="47" spans="1:1" ht="15" customHeight="1" x14ac:dyDescent="0.2">
      <c r="A47" s="93" t="s">
        <v>449</v>
      </c>
    </row>
    <row r="48" spans="1:1" ht="15" customHeight="1" x14ac:dyDescent="0.2">
      <c r="A48" s="93" t="s">
        <v>450</v>
      </c>
    </row>
    <row r="49" spans="1:1" ht="15" customHeight="1" x14ac:dyDescent="0.2">
      <c r="A49" s="93" t="s">
        <v>451</v>
      </c>
    </row>
    <row r="50" spans="1:1" ht="15" customHeight="1" x14ac:dyDescent="0.2">
      <c r="A50" s="93" t="s">
        <v>452</v>
      </c>
    </row>
    <row r="51" spans="1:1" ht="15" customHeight="1" x14ac:dyDescent="0.2">
      <c r="A51" s="93" t="s">
        <v>453</v>
      </c>
    </row>
    <row r="53" spans="1:1" ht="15" customHeight="1" x14ac:dyDescent="0.2">
      <c r="A53" s="17" t="s">
        <v>454</v>
      </c>
    </row>
    <row r="54" spans="1:1" ht="15" customHeight="1" x14ac:dyDescent="0.2">
      <c r="A54" s="93" t="s">
        <v>455</v>
      </c>
    </row>
    <row r="55" spans="1:1" ht="15" customHeight="1" x14ac:dyDescent="0.2">
      <c r="A55" s="93" t="s">
        <v>456</v>
      </c>
    </row>
    <row r="56" spans="1:1" ht="15" customHeight="1" x14ac:dyDescent="0.2">
      <c r="A56" s="93" t="s">
        <v>457</v>
      </c>
    </row>
    <row r="57" spans="1:1" ht="15" customHeight="1" x14ac:dyDescent="0.2">
      <c r="A57" s="93" t="s">
        <v>458</v>
      </c>
    </row>
    <row r="59" spans="1:1" ht="15" customHeight="1" x14ac:dyDescent="0.2">
      <c r="A59" s="17" t="s">
        <v>459</v>
      </c>
    </row>
    <row r="60" spans="1:1" ht="15" customHeight="1" x14ac:dyDescent="0.2">
      <c r="A60" s="93" t="s">
        <v>460</v>
      </c>
    </row>
    <row r="61" spans="1:1" ht="15" customHeight="1" x14ac:dyDescent="0.2">
      <c r="A61" s="93" t="s">
        <v>461</v>
      </c>
    </row>
    <row r="62" spans="1:1" ht="15" customHeight="1" x14ac:dyDescent="0.2">
      <c r="A62" s="93" t="s">
        <v>462</v>
      </c>
    </row>
    <row r="64" spans="1:1" ht="15" customHeight="1" x14ac:dyDescent="0.2">
      <c r="A64" s="93" t="s">
        <v>463</v>
      </c>
    </row>
    <row r="65" spans="1:1" ht="15" customHeight="1" x14ac:dyDescent="0.2">
      <c r="A65" s="93" t="s">
        <v>464</v>
      </c>
    </row>
    <row r="66" spans="1:1" ht="15" customHeight="1" x14ac:dyDescent="0.2">
      <c r="A66" s="93" t="s">
        <v>465</v>
      </c>
    </row>
    <row r="67" spans="1:1" ht="15" customHeight="1" x14ac:dyDescent="0.2">
      <c r="A67" s="93" t="s">
        <v>466</v>
      </c>
    </row>
    <row r="68" spans="1:1" ht="15" customHeight="1" x14ac:dyDescent="0.2">
      <c r="A68" s="146" t="s">
        <v>467</v>
      </c>
    </row>
    <row r="70" spans="1:1" ht="15" customHeight="1" x14ac:dyDescent="0.2">
      <c r="A70" s="93" t="s">
        <v>468</v>
      </c>
    </row>
    <row r="71" spans="1:1" ht="15" customHeight="1" x14ac:dyDescent="0.2">
      <c r="A71" s="93" t="s">
        <v>469</v>
      </c>
    </row>
    <row r="72" spans="1:1" ht="15" customHeight="1" x14ac:dyDescent="0.2">
      <c r="A72" s="93" t="s">
        <v>470</v>
      </c>
    </row>
    <row r="73" spans="1:1" ht="15" customHeight="1" x14ac:dyDescent="0.2">
      <c r="A73" s="93" t="s">
        <v>471</v>
      </c>
    </row>
    <row r="74" spans="1:1" ht="15" customHeight="1" x14ac:dyDescent="0.2">
      <c r="A74" s="93" t="s">
        <v>472</v>
      </c>
    </row>
    <row r="75" spans="1:1" ht="15" customHeight="1" x14ac:dyDescent="0.2">
      <c r="A75" s="146" t="s">
        <v>473</v>
      </c>
    </row>
    <row r="77" spans="1:1" ht="15" customHeight="1" x14ac:dyDescent="0.2">
      <c r="A77" s="93" t="s">
        <v>474</v>
      </c>
    </row>
    <row r="78" spans="1:1" ht="15" customHeight="1" x14ac:dyDescent="0.2">
      <c r="A78" s="93" t="s">
        <v>475</v>
      </c>
    </row>
    <row r="79" spans="1:1" ht="15" customHeight="1" x14ac:dyDescent="0.2">
      <c r="A79" s="93" t="s">
        <v>476</v>
      </c>
    </row>
    <row r="80" spans="1:1" ht="15" customHeight="1" x14ac:dyDescent="0.2">
      <c r="A80" s="93" t="s">
        <v>477</v>
      </c>
    </row>
    <row r="81" spans="1:1" ht="15" customHeight="1" x14ac:dyDescent="0.2">
      <c r="A81" s="93" t="s">
        <v>478</v>
      </c>
    </row>
    <row r="82" spans="1:1" ht="15" customHeight="1" x14ac:dyDescent="0.2">
      <c r="A82" s="131" t="s">
        <v>479</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Introduction</vt:lpstr>
      <vt:lpstr>Base Inputs</vt:lpstr>
      <vt:lpstr>Package Summary</vt:lpstr>
      <vt:lpstr>MINA</vt:lpstr>
      <vt:lpstr>DO IT NOW</vt:lpstr>
      <vt:lpstr>Mannie Mac</vt:lpstr>
      <vt:lpstr>MERA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Mark Rosenblatt and Claude AI</dc:creator>
  <dc:description/>
  <cp:lastModifiedBy>Mark Rosenblatt</cp:lastModifiedBy>
  <cp:revision>0</cp:revision>
  <dcterms:created xsi:type="dcterms:W3CDTF">2026-02-15T17:03:48Z</dcterms:created>
  <dcterms:modified xsi:type="dcterms:W3CDTF">2026-03-29T13:26:57Z</dcterms:modified>
  <dc:language>en-US</dc:language>
</cp:coreProperties>
</file>